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3.xml" ContentType="application/vnd.ms-excel.controlproperties+xml"/>
  <Override PartName="/xl/drawings/drawing4.xml" ContentType="application/vnd.openxmlformats-officedocument.drawing+xml"/>
  <Override PartName="/xl/ctrlProps/ctrlProp24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comments11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drawings/drawing6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drawings/drawing7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38E1722-BF60-4D1C-AC3C-175DF28EE425}" xr6:coauthVersionLast="47" xr6:coauthVersionMax="47" xr10:uidLastSave="{00000000-0000-0000-0000-000000000000}"/>
  <bookViews>
    <workbookView xWindow="1770" yWindow="1770" windowWidth="25455" windowHeight="11385" tabRatio="824"/>
  </bookViews>
  <sheets>
    <sheet name="ข้อมูลพื้นฐาน" sheetId="4" r:id="rId1"/>
    <sheet name="หน้าปก" sheetId="23" r:id="rId2"/>
    <sheet name="กรรมการ" sheetId="27" r:id="rId3"/>
    <sheet name="คำนำ" sheetId="24" r:id="rId4"/>
    <sheet name="วิธีประเมิน" sheetId="25" r:id="rId5"/>
    <sheet name="บทนำ" sheetId="26" r:id="rId6"/>
    <sheet name="หมวด1-1.1" sheetId="1" r:id="rId7"/>
    <sheet name="หมวด2-4.1" sheetId="2" r:id="rId8"/>
    <sheet name="หมวด2-4.2" sheetId="3" r:id="rId9"/>
    <sheet name="หมวด2-4.2(เอก)" sheetId="5" r:id="rId10"/>
    <sheet name="หมวด2-4.3" sheetId="7" r:id="rId11"/>
    <sheet name="หมวด3-2.1" sheetId="8" r:id="rId12"/>
    <sheet name="หมวด3-2.2(ตรี)" sheetId="9" r:id="rId13"/>
    <sheet name="หมวด3-2.2(โท)" sheetId="18" r:id="rId14"/>
    <sheet name="หมวด3-2.2(เอก)" sheetId="19" r:id="rId15"/>
    <sheet name="หมวด3-3.1" sheetId="10" r:id="rId16"/>
    <sheet name="หมวด3-3.2" sheetId="11" r:id="rId17"/>
    <sheet name="หมวด3-3.3" sheetId="12" r:id="rId18"/>
    <sheet name="หมวด4-5.1" sheetId="13" r:id="rId19"/>
    <sheet name="หมวด4-5.2" sheetId="14" r:id="rId20"/>
    <sheet name="หมวด4-5.3" sheetId="15" r:id="rId21"/>
    <sheet name="หมวด4-5.4" sheetId="16" r:id="rId22"/>
    <sheet name="หมวด5-6.1" sheetId="17" r:id="rId23"/>
    <sheet name="ตารางสรุป" sheetId="21" r:id="rId24"/>
    <sheet name="ตารางวิเคราะห์" sheetId="22" r:id="rId25"/>
  </sheets>
  <definedNames>
    <definedName name="_xlnm.Print_Area" localSheetId="0">ข้อมูลพื้นฐาน!$A$1:$I$38</definedName>
    <definedName name="_xlnm.Print_Area" localSheetId="24">ตารางวิเคราะห์!$A$1:$G$19</definedName>
    <definedName name="_xlnm.Print_Area" localSheetId="23">ตารางสรุป!$A$1:$G$51</definedName>
    <definedName name="_xlnm.Print_Area" localSheetId="5">บทนำ!$A$1:$G$61</definedName>
    <definedName name="_xlnm.Print_Area" localSheetId="1">หน้าปก!$A$1:$G$25</definedName>
    <definedName name="_xlnm.Print_Area" localSheetId="6">'หมวด1-1.1'!$A$1:$F$31</definedName>
    <definedName name="_xlnm.Print_Area" localSheetId="7">'หมวด2-4.1'!$A$1:$G$25</definedName>
    <definedName name="_xlnm.Print_Area" localSheetId="8">'หมวด2-4.2'!$A$1:$V$130</definedName>
    <definedName name="_xlnm.Print_Area" localSheetId="9">'หมวด2-4.2(เอก)'!$A$1:$V$42</definedName>
    <definedName name="_xlnm.Print_Area" localSheetId="10">'หมวด2-4.3'!$A$1:$G$47</definedName>
    <definedName name="_xlnm.Print_Area" localSheetId="11">'หมวด3-2.1'!$A$1:$I$30</definedName>
    <definedName name="_xlnm.Print_Area" localSheetId="12">'หมวด3-2.2(ตรี)'!$A$1:$I$40</definedName>
    <definedName name="_xlnm.Print_Area" localSheetId="13">'หมวด3-2.2(โท)'!$A$1:$V$30</definedName>
    <definedName name="_xlnm.Print_Area" localSheetId="14">'หมวด3-2.2(เอก)'!$A$1:$V$30</definedName>
    <definedName name="_xlnm.Print_Area" localSheetId="15">'หมวด3-3.1'!$A$1:$G$24</definedName>
    <definedName name="_xlnm.Print_Area" localSheetId="16">'หมวด3-3.2'!$A$1:$G$24</definedName>
    <definedName name="_xlnm.Print_Area" localSheetId="17">'หมวด3-3.3'!$A$1:$Q$74</definedName>
    <definedName name="_xlnm.Print_Area" localSheetId="18">'หมวด4-5.1'!$A$1:$G$25</definedName>
    <definedName name="_xlnm.Print_Area" localSheetId="19">'หมวด4-5.2'!$A$1:$G$27</definedName>
    <definedName name="_xlnm.Print_Area" localSheetId="20">'หมวด4-5.3'!$A$1:$G$25</definedName>
    <definedName name="_xlnm.Print_Area" localSheetId="21">'หมวด4-5.4'!$A$1:$G$45</definedName>
    <definedName name="_xlnm.Print_Area" localSheetId="22">'หมวด5-6.1'!$A$1:$G$26</definedName>
    <definedName name="_xlnm.Print_Titles" localSheetId="23">ตารางสรุป!$5:$7</definedName>
    <definedName name="_xlnm.Print_Titles" localSheetId="8">'หมวด2-4.2'!$96:$98</definedName>
    <definedName name="_xlnm.Print_Titles" localSheetId="17">'หมวด3-3.3'!$37:$38</definedName>
    <definedName name="กลุ่มสาขาวิชา">'หมวด2-4.2(เอก)'!$O$11</definedName>
    <definedName name="เกณฑ์">ข้อมูลพื้นฐาน!$M$8</definedName>
    <definedName name="คณะ">ข้อมูลพื้นฐาน!$C$6</definedName>
    <definedName name="ชื่อปริญญา">ข้อมูลพื้นฐาน!$C$2</definedName>
    <definedName name="ชื่อย่อ">ข้อมูลพื้นฐาน!$C$5</definedName>
    <definedName name="ชื่อหลักสูตร">ข้อมูลพื้นฐาน!$C$3</definedName>
    <definedName name="ชื่ออังกฤษ">ข้อมูลพื้นฐาน!$C$4</definedName>
    <definedName name="ปีประเมิน">ข้อมูลพื้นฐาน!$C$10</definedName>
    <definedName name="ปีหลักสูตร">ข้อมูลพื้นฐาน!$C$9</definedName>
    <definedName name="ผลการดำเนินงาน">'หมวด1-1.1'!$K$4:$L$4</definedName>
    <definedName name="มหาวิทยาลัย">ข้อมูลพื้นฐาน!$C$7</definedName>
    <definedName name="ระดับ">ข้อมูลพื้นฐาน!$C$8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3" l="1"/>
  <c r="C21" i="16"/>
  <c r="C20" i="16"/>
  <c r="C19" i="16"/>
  <c r="C18" i="16"/>
  <c r="C17" i="16"/>
  <c r="C16" i="16"/>
  <c r="C15" i="16"/>
  <c r="C13" i="16"/>
  <c r="C14" i="16"/>
  <c r="J24" i="16"/>
  <c r="I24" i="16"/>
  <c r="K23" i="16"/>
  <c r="K22" i="16"/>
  <c r="K21" i="16"/>
  <c r="K20" i="16"/>
  <c r="K19" i="16"/>
  <c r="K18" i="16"/>
  <c r="U104" i="3"/>
  <c r="U105" i="3"/>
  <c r="U106" i="3"/>
  <c r="U107" i="3"/>
  <c r="U108" i="3"/>
  <c r="O69" i="3"/>
  <c r="O68" i="3"/>
  <c r="O67" i="3"/>
  <c r="G57" i="3"/>
  <c r="G17" i="3"/>
  <c r="T40" i="3" s="1"/>
  <c r="E29" i="21" s="1"/>
  <c r="D11" i="4"/>
  <c r="B46" i="3"/>
  <c r="G32" i="4"/>
  <c r="X27" i="3"/>
  <c r="G31" i="4"/>
  <c r="X26" i="3"/>
  <c r="G30" i="4"/>
  <c r="X25" i="3"/>
  <c r="G29" i="4"/>
  <c r="X24" i="3"/>
  <c r="G28" i="4"/>
  <c r="X32" i="5"/>
  <c r="G27" i="4"/>
  <c r="G26" i="4"/>
  <c r="G25" i="4"/>
  <c r="X29" i="5"/>
  <c r="G24" i="4"/>
  <c r="X28" i="5"/>
  <c r="G23" i="4"/>
  <c r="X22" i="3"/>
  <c r="X31" i="5"/>
  <c r="X19" i="3"/>
  <c r="X21" i="3"/>
  <c r="X30" i="5"/>
  <c r="X18" i="3"/>
  <c r="X27" i="5"/>
  <c r="X20" i="3"/>
  <c r="X33" i="5"/>
  <c r="O66" i="3"/>
  <c r="B34" i="24"/>
  <c r="C28" i="27"/>
  <c r="C27" i="27"/>
  <c r="C24" i="27"/>
  <c r="C23" i="27"/>
  <c r="C20" i="27"/>
  <c r="C19" i="27"/>
  <c r="C15" i="27"/>
  <c r="C16" i="27"/>
  <c r="C12" i="27"/>
  <c r="C11" i="27"/>
  <c r="A4" i="27"/>
  <c r="J8" i="7"/>
  <c r="F8" i="7"/>
  <c r="M45" i="12"/>
  <c r="O45" i="12"/>
  <c r="N45" i="12"/>
  <c r="O38" i="12"/>
  <c r="N38" i="12"/>
  <c r="M38" i="12" s="1"/>
  <c r="Q14" i="12"/>
  <c r="Q13" i="12"/>
  <c r="Q12" i="12"/>
  <c r="Q11" i="12"/>
  <c r="Q9" i="12"/>
  <c r="Q10" i="12"/>
  <c r="N15" i="12"/>
  <c r="P14" i="12"/>
  <c r="P13" i="12"/>
  <c r="P12" i="12"/>
  <c r="P11" i="12"/>
  <c r="P10" i="12"/>
  <c r="P9" i="12"/>
  <c r="O14" i="12"/>
  <c r="O13" i="12"/>
  <c r="O12" i="12"/>
  <c r="O11" i="12"/>
  <c r="O10" i="12"/>
  <c r="O9" i="12"/>
  <c r="M15" i="12"/>
  <c r="K15" i="12"/>
  <c r="I15" i="12"/>
  <c r="G15" i="12"/>
  <c r="F15" i="12"/>
  <c r="D15" i="12"/>
  <c r="M8" i="12"/>
  <c r="K8" i="12"/>
  <c r="B28" i="21"/>
  <c r="B8" i="26"/>
  <c r="B7" i="26"/>
  <c r="B5" i="26"/>
  <c r="B6" i="26"/>
  <c r="G8" i="7"/>
  <c r="Q15" i="12"/>
  <c r="O15" i="12"/>
  <c r="P15" i="12"/>
  <c r="C14" i="12"/>
  <c r="C13" i="12" s="1"/>
  <c r="C12" i="12" s="1"/>
  <c r="C11" i="12" s="1"/>
  <c r="C10" i="12" s="1"/>
  <c r="C9" i="12" s="1"/>
  <c r="I8" i="12"/>
  <c r="G8" i="12"/>
  <c r="F8" i="12"/>
  <c r="D18" i="7"/>
  <c r="K17" i="16"/>
  <c r="K16" i="16"/>
  <c r="K15" i="16"/>
  <c r="K14" i="16"/>
  <c r="K13" i="16"/>
  <c r="K12" i="16"/>
  <c r="K11" i="16"/>
  <c r="K10" i="16"/>
  <c r="K9" i="16"/>
  <c r="K8" i="16"/>
  <c r="K7" i="16"/>
  <c r="K6" i="16"/>
  <c r="F11" i="7"/>
  <c r="E11" i="7" s="1"/>
  <c r="D11" i="7" s="1"/>
  <c r="F18" i="7"/>
  <c r="E18" i="7"/>
  <c r="F25" i="16"/>
  <c r="B9" i="24"/>
  <c r="B44" i="24"/>
  <c r="B43" i="24"/>
  <c r="B42" i="24"/>
  <c r="B41" i="24"/>
  <c r="B40" i="24"/>
  <c r="B38" i="24"/>
  <c r="B37" i="24"/>
  <c r="B36" i="24"/>
  <c r="B35" i="24"/>
  <c r="C18" i="8"/>
  <c r="C17" i="8"/>
  <c r="C15" i="8"/>
  <c r="C14" i="8"/>
  <c r="D3" i="24"/>
  <c r="B3" i="24"/>
  <c r="G13" i="4"/>
  <c r="F14" i="21"/>
  <c r="F12" i="21"/>
  <c r="G17" i="8"/>
  <c r="G14" i="8"/>
  <c r="B6" i="8"/>
  <c r="O26" i="5"/>
  <c r="O25" i="5"/>
  <c r="O24" i="5"/>
  <c r="O23" i="5"/>
  <c r="O22" i="5"/>
  <c r="O21" i="5"/>
  <c r="O20" i="5"/>
  <c r="O19" i="5"/>
  <c r="O18" i="5"/>
  <c r="O17" i="5"/>
  <c r="O27" i="5"/>
  <c r="O16" i="5"/>
  <c r="T114" i="3"/>
  <c r="S114" i="3"/>
  <c r="R114" i="3"/>
  <c r="Q114" i="3"/>
  <c r="P114" i="3"/>
  <c r="O114" i="3"/>
  <c r="N114" i="3"/>
  <c r="M114" i="3"/>
  <c r="L114" i="3"/>
  <c r="K114" i="3"/>
  <c r="U103" i="3"/>
  <c r="U102" i="3"/>
  <c r="U101" i="3"/>
  <c r="U100" i="3"/>
  <c r="U99" i="3"/>
  <c r="M8" i="4"/>
  <c r="H20" i="1"/>
  <c r="D20" i="1" s="1"/>
  <c r="B3" i="9"/>
  <c r="K115" i="3"/>
  <c r="X17" i="5"/>
  <c r="X8" i="3"/>
  <c r="C59" i="26"/>
  <c r="D13" i="25"/>
  <c r="B13" i="25" s="1"/>
  <c r="B11" i="24"/>
  <c r="B12" i="24"/>
  <c r="D4" i="25" s="1"/>
  <c r="B4" i="25" s="1"/>
  <c r="B5" i="24"/>
  <c r="A21" i="23"/>
  <c r="A20" i="23"/>
  <c r="A19" i="23"/>
  <c r="A15" i="23"/>
  <c r="A14" i="23"/>
  <c r="A10" i="23"/>
  <c r="G30" i="8"/>
  <c r="H30" i="8"/>
  <c r="G12" i="21"/>
  <c r="C47" i="21"/>
  <c r="B47" i="21"/>
  <c r="C42" i="21"/>
  <c r="B42" i="21"/>
  <c r="C41" i="21"/>
  <c r="B41" i="21"/>
  <c r="C40" i="21"/>
  <c r="B40" i="21"/>
  <c r="C37" i="21"/>
  <c r="B37" i="21"/>
  <c r="B35" i="21"/>
  <c r="B33" i="21"/>
  <c r="B31" i="21"/>
  <c r="B29" i="21"/>
  <c r="C27" i="21"/>
  <c r="B27" i="21"/>
  <c r="C24" i="21"/>
  <c r="C23" i="21"/>
  <c r="C22" i="21"/>
  <c r="B24" i="21"/>
  <c r="B23" i="21"/>
  <c r="B22" i="21"/>
  <c r="D19" i="21"/>
  <c r="B18" i="21"/>
  <c r="D17" i="21"/>
  <c r="B16" i="21"/>
  <c r="D15" i="21"/>
  <c r="B14" i="21"/>
  <c r="B12" i="21"/>
  <c r="C13" i="21"/>
  <c r="C12" i="21"/>
  <c r="A3" i="21"/>
  <c r="A4" i="21"/>
  <c r="D12" i="21"/>
  <c r="U17" i="19"/>
  <c r="G8" i="19"/>
  <c r="G9" i="19"/>
  <c r="C19" i="21"/>
  <c r="G12" i="5"/>
  <c r="D36" i="21"/>
  <c r="U17" i="18"/>
  <c r="G8" i="18"/>
  <c r="G9" i="18"/>
  <c r="G26" i="17"/>
  <c r="E47" i="21"/>
  <c r="F26" i="17"/>
  <c r="G47" i="21"/>
  <c r="F9" i="22" s="1"/>
  <c r="D25" i="16"/>
  <c r="C43" i="21"/>
  <c r="D26" i="16"/>
  <c r="E26" i="16"/>
  <c r="C44" i="21"/>
  <c r="C17" i="21"/>
  <c r="G48" i="21"/>
  <c r="B9" i="22"/>
  <c r="E45" i="16"/>
  <c r="F45" i="16"/>
  <c r="G43" i="21"/>
  <c r="E8" i="22" s="1"/>
  <c r="D43" i="21"/>
  <c r="B5" i="16"/>
  <c r="G45" i="16"/>
  <c r="E43" i="21"/>
  <c r="G25" i="15"/>
  <c r="E42" i="21"/>
  <c r="F25" i="15"/>
  <c r="G42" i="21"/>
  <c r="G45" i="21" s="1"/>
  <c r="G27" i="14"/>
  <c r="E41" i="21"/>
  <c r="F27" i="14"/>
  <c r="G41" i="21"/>
  <c r="G25" i="13"/>
  <c r="E40" i="21"/>
  <c r="F25" i="13"/>
  <c r="G40" i="21"/>
  <c r="D8" i="22" s="1"/>
  <c r="P74" i="12"/>
  <c r="E24" i="21"/>
  <c r="N74" i="12"/>
  <c r="G24" i="21"/>
  <c r="E6" i="22" s="1"/>
  <c r="G24" i="11"/>
  <c r="E23" i="21"/>
  <c r="F24" i="11"/>
  <c r="G23" i="21"/>
  <c r="G24" i="10"/>
  <c r="E22" i="21"/>
  <c r="F24" i="10"/>
  <c r="G22" i="21"/>
  <c r="D6" i="22" s="1"/>
  <c r="E22" i="9"/>
  <c r="C15" i="21"/>
  <c r="E21" i="9"/>
  <c r="G25" i="21"/>
  <c r="H21" i="9"/>
  <c r="C14" i="21"/>
  <c r="I30" i="8"/>
  <c r="E12" i="21"/>
  <c r="E26" i="9"/>
  <c r="H26" i="9"/>
  <c r="B5" i="9"/>
  <c r="D14" i="21"/>
  <c r="G40" i="9"/>
  <c r="I40" i="9"/>
  <c r="E14" i="21"/>
  <c r="G47" i="7"/>
  <c r="E37" i="21"/>
  <c r="F47" i="7"/>
  <c r="G37" i="21"/>
  <c r="E7" i="22" s="1"/>
  <c r="M27" i="5"/>
  <c r="K27" i="5"/>
  <c r="G19" i="4"/>
  <c r="X23" i="5"/>
  <c r="G20" i="4"/>
  <c r="X15" i="3"/>
  <c r="X24" i="5"/>
  <c r="G21" i="4"/>
  <c r="X25" i="5"/>
  <c r="G22" i="4"/>
  <c r="X17" i="3"/>
  <c r="X26" i="5"/>
  <c r="G18" i="4"/>
  <c r="X22" i="5"/>
  <c r="G17" i="4"/>
  <c r="X21" i="5"/>
  <c r="G16" i="4"/>
  <c r="X20" i="5"/>
  <c r="G15" i="4"/>
  <c r="X19" i="5"/>
  <c r="G14" i="4"/>
  <c r="X18" i="5"/>
  <c r="X10" i="3"/>
  <c r="X12" i="3"/>
  <c r="H40" i="9"/>
  <c r="U113" i="3"/>
  <c r="U112" i="3"/>
  <c r="U111" i="3"/>
  <c r="U110" i="3"/>
  <c r="U109" i="3"/>
  <c r="U114" i="3"/>
  <c r="G90" i="3"/>
  <c r="C33" i="21"/>
  <c r="G25" i="2"/>
  <c r="E27" i="21"/>
  <c r="F76" i="4"/>
  <c r="G58" i="3"/>
  <c r="C32" i="21"/>
  <c r="C31" i="21"/>
  <c r="F25" i="2"/>
  <c r="G27" i="21"/>
  <c r="D7" i="22" s="1"/>
  <c r="F23" i="1"/>
  <c r="E9" i="21"/>
  <c r="O65" i="3"/>
  <c r="G14" i="21"/>
  <c r="E5" i="22"/>
  <c r="F5" i="22" s="1"/>
  <c r="A14" i="21"/>
  <c r="B18" i="1"/>
  <c r="B13" i="1"/>
  <c r="F8" i="14"/>
  <c r="B6" i="14"/>
  <c r="F5" i="14"/>
  <c r="A18" i="21"/>
  <c r="B8" i="1"/>
  <c r="A16" i="21"/>
  <c r="B14" i="1"/>
  <c r="B9" i="1"/>
  <c r="B8" i="14"/>
  <c r="D5" i="14"/>
  <c r="B5" i="14"/>
  <c r="A35" i="21"/>
  <c r="G61" i="3"/>
  <c r="D32" i="21"/>
  <c r="E7" i="14"/>
  <c r="G7" i="14"/>
  <c r="C5" i="14"/>
  <c r="B4" i="11"/>
  <c r="G35" i="21"/>
  <c r="B10" i="1"/>
  <c r="G94" i="3"/>
  <c r="D34" i="21"/>
  <c r="D7" i="14"/>
  <c r="E8" i="14"/>
  <c r="B7" i="15"/>
  <c r="G16" i="21"/>
  <c r="T30" i="19"/>
  <c r="E18" i="21"/>
  <c r="K8" i="19"/>
  <c r="C18" i="21"/>
  <c r="C16" i="21"/>
  <c r="K8" i="18"/>
  <c r="T30" i="18"/>
  <c r="E16" i="21"/>
  <c r="N42" i="5"/>
  <c r="G8" i="5"/>
  <c r="C35" i="21"/>
  <c r="O64" i="3"/>
  <c r="X16" i="3"/>
  <c r="G91" i="3"/>
  <c r="C34" i="21" s="1"/>
  <c r="B6" i="3"/>
  <c r="X23" i="3"/>
  <c r="X14" i="3"/>
  <c r="K57" i="3"/>
  <c r="G18" i="3"/>
  <c r="Q24" i="3" s="1"/>
  <c r="X9" i="3"/>
  <c r="X11" i="3"/>
  <c r="X13" i="3"/>
  <c r="G20" i="21"/>
  <c r="G9" i="5"/>
  <c r="B7" i="14"/>
  <c r="E5" i="14"/>
  <c r="B11" i="1"/>
  <c r="G18" i="21"/>
  <c r="B5" i="22" s="1"/>
  <c r="F6" i="14"/>
  <c r="B17" i="1"/>
  <c r="F7" i="14"/>
  <c r="C6" i="14"/>
  <c r="B15" i="1"/>
  <c r="B2" i="5"/>
  <c r="D8" i="14"/>
  <c r="G6" i="14"/>
  <c r="B20" i="1"/>
  <c r="T81" i="3"/>
  <c r="G5" i="14"/>
  <c r="C8" i="14"/>
  <c r="B12" i="1"/>
  <c r="D6" i="14"/>
  <c r="B4" i="14"/>
  <c r="B33" i="26"/>
  <c r="E6" i="14"/>
  <c r="G8" i="14"/>
  <c r="B16" i="1"/>
  <c r="B19" i="26"/>
  <c r="C7" i="14"/>
  <c r="G21" i="3"/>
  <c r="D30" i="21"/>
  <c r="T42" i="5"/>
  <c r="E35" i="21" s="1"/>
  <c r="G11" i="19"/>
  <c r="N30" i="19"/>
  <c r="G11" i="18"/>
  <c r="N30" i="18"/>
  <c r="T127" i="3"/>
  <c r="E33" i="21" s="1"/>
  <c r="K90" i="3"/>
  <c r="G93" i="3" s="1"/>
  <c r="C36" i="21"/>
  <c r="K8" i="5"/>
  <c r="D18" i="21"/>
  <c r="K11" i="19"/>
  <c r="K11" i="18"/>
  <c r="D16" i="21"/>
  <c r="Q30" i="19"/>
  <c r="B5" i="19"/>
  <c r="Q30" i="18"/>
  <c r="B5" i="18"/>
  <c r="G9" i="22" l="1"/>
  <c r="I9" i="22" s="1"/>
  <c r="K93" i="3"/>
  <c r="D33" i="21"/>
  <c r="G5" i="22"/>
  <c r="I5" i="22" s="1"/>
  <c r="B6" i="22"/>
  <c r="E10" i="22"/>
  <c r="E11" i="22" s="1"/>
  <c r="G11" i="5"/>
  <c r="N81" i="3"/>
  <c r="K17" i="3"/>
  <c r="B8" i="22"/>
  <c r="D9" i="22"/>
  <c r="C29" i="21"/>
  <c r="N127" i="3"/>
  <c r="D23" i="1"/>
  <c r="E31" i="21"/>
  <c r="Q25" i="3"/>
  <c r="G60" i="3"/>
  <c r="D10" i="22"/>
  <c r="D11" i="22" s="1"/>
  <c r="C30" i="21"/>
  <c r="F6" i="22"/>
  <c r="F8" i="22"/>
  <c r="C9" i="21" l="1"/>
  <c r="E23" i="1"/>
  <c r="D31" i="21"/>
  <c r="K60" i="3"/>
  <c r="Q127" i="3"/>
  <c r="B87" i="3"/>
  <c r="N40" i="3"/>
  <c r="G20" i="3"/>
  <c r="G8" i="22"/>
  <c r="I8" i="22" s="1"/>
  <c r="G6" i="22"/>
  <c r="D35" i="21"/>
  <c r="K11" i="5"/>
  <c r="G33" i="21" l="1"/>
  <c r="D29" i="21"/>
  <c r="K20" i="3"/>
  <c r="Q42" i="5"/>
  <c r="B5" i="5"/>
  <c r="Q81" i="3"/>
  <c r="G31" i="21" s="1"/>
  <c r="B53" i="3"/>
  <c r="G9" i="21"/>
  <c r="D10" i="21" s="1"/>
  <c r="G4" i="22" s="1"/>
  <c r="B4" i="22"/>
  <c r="I6" i="22"/>
  <c r="Q40" i="3" l="1"/>
  <c r="B13" i="3"/>
  <c r="G29" i="21" l="1"/>
  <c r="G28" i="21" s="1"/>
  <c r="Q130" i="3"/>
  <c r="T130" i="3" l="1"/>
  <c r="E28" i="21" s="1"/>
  <c r="C28" i="21"/>
  <c r="N130" i="3"/>
  <c r="G38" i="21"/>
  <c r="B7" i="22"/>
  <c r="B10" i="22" s="1"/>
  <c r="C7" i="22"/>
  <c r="F7" i="22"/>
  <c r="C10" i="22"/>
  <c r="C11" i="22" s="1"/>
  <c r="G50" i="21"/>
  <c r="B4" i="24" s="1"/>
  <c r="G49" i="21"/>
  <c r="G51" i="21" s="1"/>
  <c r="F10" i="22" s="1"/>
  <c r="F11" i="22" l="1"/>
  <c r="G10" i="22"/>
  <c r="G7" i="22"/>
  <c r="I7" i="22" s="1"/>
  <c r="B30" i="24" s="1"/>
  <c r="J7" i="22" l="1"/>
  <c r="J5" i="22"/>
  <c r="J6" i="22"/>
  <c r="J8" i="22"/>
</calcChain>
</file>

<file path=xl/comments1.xml><?xml version="1.0" encoding="utf-8"?>
<comments xmlns="http://schemas.openxmlformats.org/spreadsheetml/2006/main">
  <authors>
    <author>Windows User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คลิก เลือกตำแหน่งวิชาการ ถ้าไม่มีให้เลือก ว่าง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คลิก เลือกคุณวุฒิ ถ้าไม่มีให้เลือก ว่าง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 xml:space="preserve">พิมพ์ชื่อ สกุล โดยไม่ต้องมีคำนำหน้า
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 xml:space="preserve">พิมพ์ชื่อ สกุล โดยไม่ต้องมีคำนำหน้า
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เลือกข้อมูลเป้าหมายของหลักสูตร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K74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เลือกข้อมูลเป้าหมายของหลักสูตร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comments13.xml><?xml version="1.0" encoding="utf-8"?>
<comments xmlns="http://schemas.openxmlformats.org/spreadsheetml/2006/main">
  <authors>
    <author>Windows User</author>
  </authors>
  <commentList>
    <comment ref="D27" authorId="0" shapeId="0">
      <text>
        <r>
          <rPr>
            <b/>
            <sz val="9"/>
            <color indexed="81"/>
            <rFont val="Tahoma"/>
            <family val="2"/>
          </rPr>
          <t>เลือกข้อมูลเป้าหมายของหลักสูตร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เลือกข้อมูลเป้าหมายของหลักสูตร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comments15.xml><?xml version="1.0" encoding="utf-8"?>
<comments xmlns="http://schemas.openxmlformats.org/spreadsheetml/2006/main">
  <authors>
    <author>Windows User</author>
  </authors>
  <commentList>
    <comment ref="D45" authorId="0" shapeId="0">
      <text>
        <r>
          <rPr>
            <b/>
            <sz val="9"/>
            <color indexed="81"/>
            <rFont val="Tahoma"/>
            <family val="2"/>
          </rPr>
          <t>คลิก พิมพ์ตัวเลข เช่น 80</t>
        </r>
      </text>
    </comment>
  </commentList>
</comments>
</file>

<file path=xl/comments16.xml><?xml version="1.0" encoding="utf-8"?>
<comments xmlns="http://schemas.openxmlformats.org/spreadsheetml/2006/main">
  <authors>
    <author>Windows User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เลือกข้อมูลเป้าหมายของหลักสูตร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comments17.xml><?xml version="1.0" encoding="utf-8"?>
<comments xmlns="http://schemas.openxmlformats.org/spreadsheetml/2006/main">
  <authors>
    <author>Windows User</author>
  </authors>
  <commentList>
    <comment ref="F16" authorId="0" shapeId="0">
      <text>
        <r>
          <rPr>
            <b/>
            <sz val="9"/>
            <color indexed="81"/>
            <rFont val="Tahoma"/>
            <family val="2"/>
          </rPr>
          <t>กรณีตัดตัวประเมิน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กรณีตัดตัวประเมิน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คลิกเลือก ผ่าน หรือ ไม่ผ่าน อย่างใดอย่างหนึ่ง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เลือกข้อมูลเป้าหมายของหลักสูตร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N6" authorId="0" shapeId="0">
      <text>
        <r>
          <rPr>
            <b/>
            <sz val="9"/>
            <color indexed="81"/>
            <rFont val="Tahoma"/>
            <family val="2"/>
          </rPr>
          <t>ถ้าตัวเลขไม่ปรากฎให้ไปกรอกข้อมูลพื้นฐานให้ครบ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ป้อนเฉพาะตัวเลข เช่น 20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51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เลือกรายชื่ออาจารย์คุณวุฒิปริญญาเอก
*ถ้าไม่มีให้เลือกที่ว่าง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ป้อนเฉพาะตัวเลข เช่น 20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</t>
        </r>
      </text>
    </comment>
    <comment ref="K127" authorId="0" shapeId="0">
      <text>
        <r>
          <rPr>
            <b/>
            <sz val="9"/>
            <color indexed="81"/>
            <rFont val="Tahoma"/>
            <family val="2"/>
          </rPr>
          <t>ป้อนเฉพาะตัวเลข เช่น 20</t>
        </r>
      </text>
    </comment>
    <comment ref="K130" authorId="0" shapeId="0">
      <text>
        <r>
          <rPr>
            <b/>
            <sz val="9"/>
            <color indexed="81"/>
            <rFont val="Tahoma"/>
            <family val="2"/>
          </rPr>
          <t>ป้อนเฉพาะตัวเลข เช่น 20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คลิก เลือกกลุ่มวิชา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คลิก เลือกรายชื่ออาจารย์ที่มีผลงานวิชาการ หรือไม่ต้องใส่ กรณีคิดรวมทุกคน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ป้อนเฉพาะตัวเลข เช่น 20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D47" authorId="0" shapeId="0">
      <text>
        <r>
          <rPr>
            <b/>
            <sz val="9"/>
            <color indexed="81"/>
            <rFont val="Tahoma"/>
            <family val="2"/>
          </rPr>
          <t>เลือกข้อมูลเป้าหมายของหลักสูตร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K30" authorId="0" shapeId="0">
      <text>
        <r>
          <rPr>
            <b/>
            <sz val="9"/>
            <color indexed="81"/>
            <rFont val="Tahoma"/>
            <family val="2"/>
          </rPr>
          <t>ป้อนเฉพาะตัวเลข เช่น 20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K30" authorId="0" shapeId="0">
      <text>
        <r>
          <rPr>
            <b/>
            <sz val="9"/>
            <color indexed="81"/>
            <rFont val="Tahoma"/>
            <family val="2"/>
          </rPr>
          <t>ป้อนเฉพาะตัวเลข เช่น 20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เลือกข้อมูลเป้าหมายของหลักสูตร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กรรมการประเมินให้คะแนน</t>
        </r>
      </text>
    </comment>
  </commentList>
</comments>
</file>

<file path=xl/sharedStrings.xml><?xml version="1.0" encoding="utf-8"?>
<sst xmlns="http://schemas.openxmlformats.org/spreadsheetml/2006/main" count="922" uniqueCount="488">
  <si>
    <t xml:space="preserve">บทที่ 2 </t>
  </si>
  <si>
    <t>ผลการประเมินรายองค์ประกอบตัวบ่งชี้</t>
  </si>
  <si>
    <t>หมวดที่ 1 ข้อมูลทั่วไป</t>
  </si>
  <si>
    <t>องค์ประกอบที่ 1 การกำกับมาตรฐาน</t>
  </si>
  <si>
    <t>ตัวบ่งชี้ที่ 1.1 การบริหารจัดการหลักสูตรตามเกณฑ์มาตรฐานหลักสูตรที่กำหนดโดย สกอ.</t>
  </si>
  <si>
    <t>ผลประเมินโดยกรรมการ</t>
  </si>
  <si>
    <t>เกณฑ์การประเมิน</t>
  </si>
  <si>
    <t>ข้อค้นพบ/ผลการดำเนินงาน</t>
  </si>
  <si>
    <t>1. จำนวนอาจารย์ประจำหลักสูตร</t>
  </si>
  <si>
    <t>2. คุณสมบัติของอาจารย์ประจำหลักสูตร</t>
  </si>
  <si>
    <t>11. การปรับปรุงหลักสูตรตามกรอบระยะเวลาที่กำหนด</t>
  </si>
  <si>
    <t>สรุปผลการประเมินจากคณะกรรมการ</t>
  </si>
  <si>
    <t>ตัวบ่งชี้</t>
  </si>
  <si>
    <t xml:space="preserve">เป้าหมาย </t>
  </si>
  <si>
    <t>ผลการดำเนินงาน</t>
  </si>
  <si>
    <t>คะแนนประเมินจากคณะกรรมการ</t>
  </si>
  <si>
    <t>การบรรลุเป้าหมาย</t>
  </si>
  <si>
    <t>1.1 การบริหารจัดการหลักสูตรตามเกณฑ์มาตรฐานหลักสูตรที่กำหนดโดย สกอ.</t>
  </si>
  <si>
    <t>ผ่าน</t>
  </si>
  <si>
    <r>
      <t>หมายเหตุ :</t>
    </r>
    <r>
      <rPr>
        <sz val="14"/>
        <color indexed="8"/>
        <rFont val="TH SarabunPSK"/>
        <family val="2"/>
      </rPr>
      <t>หากไม่ผ่านเกณฑ์ข้อใดข้อหนึ่ง ถือว่าหลักสูตรไม่ได้มาตรฐาน และผลเป็น “ไม่ผ่าน” คะแนนเป็นศูนย์</t>
    </r>
  </si>
  <si>
    <t>ไม่ผ่าน</t>
  </si>
  <si>
    <t>หมวดที่ 2  อาจารย์</t>
  </si>
  <si>
    <t xml:space="preserve">องค์ประกอบที่ 4 อาจารย์ </t>
  </si>
  <si>
    <t>เกณฑ์การประเมิน/ข้อค้นพบจากคณะกรรมการประเมิน</t>
  </si>
  <si>
    <t>การบริหารและพัฒนาอาจารย์</t>
  </si>
  <si>
    <t>- ระบบการรับและแต่งตั้งอาจารย์ประจำหลักสูตร</t>
  </si>
  <si>
    <t>- ระบบการบริหารอาจารย์</t>
  </si>
  <si>
    <t>- ระบบการส่งเสริมและพัฒนาอาจารย์</t>
  </si>
  <si>
    <t>ข้อค้นพบจากคณะกรรมการประเมิน</t>
  </si>
  <si>
    <t>4.1 การบริหารและพัฒนาอาจารย์</t>
  </si>
  <si>
    <t>คุณภาพอาจารย์</t>
  </si>
  <si>
    <t>4.2.1 ร้อยละของอาจารย์ประจำหลักสูตรที่มีคุณวุฒิปริญญาเอก</t>
  </si>
  <si>
    <t>คะแนน โดยแสดงวิธีการคำนวณ ดังนี้</t>
  </si>
  <si>
    <t>วิธีการคำนวณ</t>
  </si>
  <si>
    <t>1.ค่าร้อยละของอาจารย์ประจำที่มีคุณวุฒิปริญญาเอก</t>
  </si>
  <si>
    <t>x 100 =</t>
  </si>
  <si>
    <t>ชื่อหลักสูตร</t>
  </si>
  <si>
    <t>ชื่อปริญญา</t>
  </si>
  <si>
    <t>ระดับ</t>
  </si>
  <si>
    <t>ผศ.</t>
  </si>
  <si>
    <t>รศ.</t>
  </si>
  <si>
    <t>ศ.</t>
  </si>
  <si>
    <t>ลำดับที่</t>
  </si>
  <si>
    <t>วิชาการ</t>
  </si>
  <si>
    <t>ชื่อ-สกุล</t>
  </si>
  <si>
    <t>อาจารย์</t>
  </si>
  <si>
    <t>ดร.</t>
  </si>
  <si>
    <t>ข้อมูลพื้นฐาน</t>
  </si>
  <si>
    <t xml:space="preserve">จำนวนอาจารย์ประจำทั้งหมด </t>
  </si>
  <si>
    <t>จำนวนอาจารย์ประจำที่มีคุณวุฒิปริญญาเอก</t>
  </si>
  <si>
    <t>จำนวน</t>
  </si>
  <si>
    <t>จำนวนอาจารย์ประจำหลักสูตร</t>
  </si>
  <si>
    <t>คน</t>
  </si>
  <si>
    <t>4.2.2 ร้อยละของอาจารย์ประจำหลักสูตรที่ดำรงตำแหน่งทางวิชาการ</t>
  </si>
  <si>
    <t>จำนวนอาจารย์ประจำที่มีตำแหน่งทางวิชาการ</t>
  </si>
  <si>
    <t>2. แปลงค่าร้อยละที่คำนวณได้ในข้อ 1 เทียบกับคะแนนเต็ม 5</t>
  </si>
  <si>
    <t>x 5 =</t>
  </si>
  <si>
    <t>หมายเหตุ</t>
  </si>
  <si>
    <t>เลือกข้อมูลหรือพิมพ์ข้อมูลเฉพาะช่องสีฟ้าเท่านั้น</t>
  </si>
  <si>
    <t>จำนวนอาจารย์ประจำทั้งหมดที่ดำรงตำแหน่ง ศ.</t>
  </si>
  <si>
    <t>จำนวนอาจารย์ประจำทั้งหมดที่ดำรงตำแหน่ง อาจารย์</t>
  </si>
  <si>
    <t>จำนวนอาจารย์ประจำทั้งหมดที่ดำรงตำแหน่ง ผศ.</t>
  </si>
  <si>
    <t>จำนวนอาจารย์ประจำทั้งหมดที่ดำรงตำแหน่ง รศ.</t>
  </si>
  <si>
    <t>1. ค่าร้อยละของอาจารย์ประจำที่มีดำรงตำแหน่งทางวิชาการ</t>
  </si>
  <si>
    <t>4.2.3 ผลงานทางวิชาการของอาจารย์ประจำหลักสูตร</t>
  </si>
  <si>
    <t xml:space="preserve">1. คำนวณค่าร้อยละของผลรวมถ่วงน้ำหนักของผลงานทางวิชาการของอาจารย์ประจำหลักสูตร </t>
  </si>
  <si>
    <t>ชื่ออาจารย์ประจำหลักสูตร</t>
  </si>
  <si>
    <t>ค่าน้ำหนัก</t>
  </si>
  <si>
    <t>ผลรวมถ่วงน้ำหนัก</t>
  </si>
  <si>
    <t>ผลงานทางวิชาการ</t>
  </si>
  <si>
    <t>ผลงานสร้างสรรค์</t>
  </si>
  <si>
    <t>รวม</t>
  </si>
  <si>
    <t>อาจารย์ที่มีคุณวุฒิปริญญาเอก</t>
  </si>
  <si>
    <r>
      <t xml:space="preserve">ข้อเสนอแนะ </t>
    </r>
    <r>
      <rPr>
        <sz val="14"/>
        <color indexed="8"/>
        <rFont val="TH SarabunPSK"/>
        <family val="2"/>
      </rPr>
      <t>(ไม่เกิน 3 ข้อ)</t>
    </r>
  </si>
  <si>
    <t>คุณวุฒิ</t>
  </si>
  <si>
    <t/>
  </si>
  <si>
    <t>อาจารย์ที่ดำรงตำแหน่งทางวิชาการ</t>
  </si>
  <si>
    <t>4.2.4 จำนวนบทความของอาจารย์ประจำหลักสูตรปริญญาเอกที่ได้รับการอ้างอิงในฐานข้อมูล TCI และ Scopus ต่อจำนวนอาจารย์ประจำหลักสูตร</t>
  </si>
  <si>
    <t xml:space="preserve">1. คำนวณอัตราส่วนจำนวนบทความที่ได้รับการอ้างอิงต่อจำนวนอาจารย์ประจำหลักสูตร </t>
  </si>
  <si>
    <t>Scopus</t>
  </si>
  <si>
    <t>TCI</t>
  </si>
  <si>
    <t>จำนวนบทความที่ได้รับการอ้างอิง (ครั้ง)</t>
  </si>
  <si>
    <t>กลุ่มสาขาวิชา</t>
  </si>
  <si>
    <t>=</t>
  </si>
  <si>
    <t>2. แปลงค่าที่คำนวณได้ในข้อ 1 เทียบกับคะแนนเต็ม 5</t>
  </si>
  <si>
    <t>ผลที่เกิดกับอาจารย์</t>
  </si>
  <si>
    <t>- อัตราการคงอยู่ของอาจารย์</t>
  </si>
  <si>
    <t>- ความพึงพอใจของอาจารย์</t>
  </si>
  <si>
    <t>4.3 ผลที่เกิดกับอาจารย์</t>
  </si>
  <si>
    <t>หมวดที่ 3 นักศึกษาและบัณฑิต</t>
  </si>
  <si>
    <t>องค์ประกอบที่ 2 บัณฑิต</t>
  </si>
  <si>
    <t>คุณภาพบัณฑิตตามกรอบมาตรฐานคุณวุฒิระดับอุดมศึกษาแห่งชาติ</t>
  </si>
  <si>
    <t>วิทยาศาสตรบัณฑิต</t>
  </si>
  <si>
    <t>อิเล็กทรอนิกส์สื่อสาร</t>
  </si>
  <si>
    <t>ที่</t>
  </si>
  <si>
    <t>รายการข้อมูลพื้นฐาน</t>
  </si>
  <si>
    <t>การคำนวณ</t>
  </si>
  <si>
    <t>2.1 คุณภาพบัณฑิตตามกรอบมาตรฐานคุณวุฒิระดับอุดมศึกษาแห่งชาติ</t>
  </si>
  <si>
    <t>จำนวนบัณฑิตระดับปริญญาตรีที่ตอบแบบสำรวจเรื่องการมีงานทำภายใน 1 ปี หลังสำเร็จการศึกษา </t>
  </si>
  <si>
    <t>จำนวนผู้สำเร็จการศึกษาระดับปริญญาตรีที่มีงานทำก่อนเข้าศึกษา </t>
  </si>
  <si>
    <t>จำนวนบัณฑิตระดับปริญญาตรีที่อุปสมบท </t>
  </si>
  <si>
    <t>จำนวนบัณฑิตระดับปริญญาตรีที่เกณฑ์ทหาร</t>
  </si>
  <si>
    <t>จำนวนบัณฑิตระดับปริญญาตรีที่มีกิจการของตนเองที่มีรายได้ประจำอยู่แล้ว </t>
  </si>
  <si>
    <t>จำนวนบัณฑิตทั้งหมด</t>
  </si>
  <si>
    <t>จำนวนบัณฑิตระดับปริญญาตรีที่ประกอบอาชีพอิสระ </t>
  </si>
  <si>
    <t>จำนวนบัณฑิตระดับปริญญาตรีที่ศึกษาต่อระดับบัณฑิตศึกษา </t>
  </si>
  <si>
    <t>1. คำนวณค่าร้อยละของบัณฑิตปริญญาตรีที่ได้งานทำหรือประกอบอาชีพอิสระภายใน 1 ปี</t>
  </si>
  <si>
    <t>องค์ประกอบที่ 3 นักศึกษา</t>
  </si>
  <si>
    <t>การรับนักศึกษา</t>
  </si>
  <si>
    <t>- การรับนักศึกษา</t>
  </si>
  <si>
    <t>- การเตรียมความพร้อมก่อนเข้าศึกษา</t>
  </si>
  <si>
    <t>3.1 การรับนักศึกษา</t>
  </si>
  <si>
    <t>การส่งเสริมและพัฒนานักศึกษา</t>
  </si>
  <si>
    <t>3.2 การส่งเสริมและพัฒนานักศึกษา</t>
  </si>
  <si>
    <t>ผลที่เกิดกับนักศึกษา</t>
  </si>
  <si>
    <t>- การคงอยู่</t>
  </si>
  <si>
    <t>- การสำเร็จการศึกษา</t>
  </si>
  <si>
    <t>- ความพึงพอใจและผลการจัดการข้อร้องเรียนของนักศึกษา</t>
  </si>
  <si>
    <t>หมวดที่ 4 ข้อมูลสรุปรายวิชาและคุณภาพการสอน</t>
  </si>
  <si>
    <t>องค์ประกอบที่ 5 หลักสูตร การเรียนการสอน การประเมินผู้เรียน</t>
  </si>
  <si>
    <t>สาระของรายวิชาในหลักสูตร</t>
  </si>
  <si>
    <t>- การออกแบบหลักสูตรและสาระรายวิชาในหลักสูตร</t>
  </si>
  <si>
    <t>- การปรับปรุงหลักสูตรให้ทันสมัยตามความก้าวหน้าในศาสตร์สาขานั้น ๆ</t>
  </si>
  <si>
    <t>5.1 สาระของรายวิชาในหลักสูตร</t>
  </si>
  <si>
    <t>3.3 ผลที่เกิดกับนักศึกษา</t>
  </si>
  <si>
    <r>
      <t xml:space="preserve">เหตุผลที่ให้คะแนน 5 </t>
    </r>
    <r>
      <rPr>
        <sz val="14"/>
        <color indexed="8"/>
        <rFont val="TH SarabunPSK"/>
        <family val="2"/>
      </rPr>
      <t>(กรณีที่มีคะแนนในระดับ 5 ให้อธิบายเหตุผล)</t>
    </r>
  </si>
  <si>
    <t>การวางระบบผู้สอนและกระบวนการจัดการเรียนการสอน</t>
  </si>
  <si>
    <t>5.2 การวางระบบผู้สอนและกระบวนการจัดการเรียนการสอน</t>
  </si>
  <si>
    <t>การประเมินผู้เรียน</t>
  </si>
  <si>
    <t xml:space="preserve"> - การกำกับการประเมินการจัดการเรียนการสอนและการประเมินหลักสูตร (มคอ.5 มคอ.6 และมคอ.7)</t>
  </si>
  <si>
    <t xml:space="preserve"> - การตรวจสอบการประเมินผลการเรียนรู้ของนักศึกษา</t>
  </si>
  <si>
    <t xml:space="preserve"> - การประเมินผลการเรียนรู้ตามกรอบมาตรฐานคุณวุฒิระดับอุดมศึกษาแห่งชาติ</t>
  </si>
  <si>
    <t>5.3 การประเมินผู้เรียน</t>
  </si>
  <si>
    <t>ผลการดำเนินงานหลักสูตรตามกรอบมาตรฐานคุณวุฒิระดับอุดมศึกษาแห่งชาติ</t>
  </si>
  <si>
    <t>(1) อาจารย์ประจำหลักสูตรอย่างน้อยร้อยละ 80 มีส่วนร่วมในการประชุมเพื่อวางแผนติดตาม และทบทวนการดำเนินงานหลักสูตร</t>
  </si>
  <si>
    <t>(2) มีรายละเอียดของหลักสูตร ตามแบบ มคอ. 2 ที่สอดคล้องกับกรอบมาตรฐานคุณวุฒิระดับอุดมศึกษาแห่งชาติ หรือมาตรฐานคุณวุฒิสาขา/สาขาวิชา (ถ้ามี)</t>
  </si>
  <si>
    <t>(4) จัดทำรายงานผลการดำเนินการของรายวิชา และรายงานผลการดำเนินการของประสบการณ์ภาคสนาม (ถ้ามี) ตามแบบ มคอ.5 และ มคอ.6 ภายใน 30 วัน หลังสิ้นสุดภาคการศึกษาที่เปิดสอนให้ครบทุกรายวิชา</t>
  </si>
  <si>
    <t>(5) จัดทำรายงานผลการดำเนินการของหลักสูตร ตามแบบ มคอ.7 ภายใน 60 วัน หลังปีการศึกษา</t>
  </si>
  <si>
    <t>(6) มีการทวนสอบผลสัมฤทธิ์ของนักศึกษาตามมาตรฐานผลการเรียนรู้ที่กำหนดใน มคอ.3 และ มคอ.4 (ถ้ามี) อย่างน้อยร้อยละ 25 ของรายวิชาที่เปิดสอนในแต่ละปีการศึกษา</t>
  </si>
  <si>
    <t>(7) มีการพัฒนา/ปรับปรุงการจัดการเรียนการสอน กลยุทธ์การสอน หรือการประเมินผลการเรียนรู้ จากผลการประเมินการดำเนินงานที่รายงานใน มคอ.7 ปีที่แล้ว</t>
  </si>
  <si>
    <t>(8) อาจารย์ใหม่ (ถ้ามี) ทุกคน ได้รับการปฐมนิเทศหรือคำแนะนำด้านการจัดการเรียนการสอน</t>
  </si>
  <si>
    <t>(10) 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</t>
  </si>
  <si>
    <t>ไม่เลือก</t>
  </si>
  <si>
    <t>ข้อที่ผ่าน</t>
  </si>
  <si>
    <t>หมวดที่ 5  การบริหารหลักสูตร</t>
  </si>
  <si>
    <t>องค์ประกอบที่ 6 สิ่งสนับสนุนการเรียนรู้</t>
  </si>
  <si>
    <t>สิ่งสนับสนุนการเรียนรู้</t>
  </si>
  <si>
    <t xml:space="preserve"> - กระบวนการปรับปรุงตามผลการประเมินความพึงพอใจของนักศึกษาและอาจารย์ต่อสิ่งสนับสนุนการเรียนรู้</t>
  </si>
  <si>
    <t xml:space="preserve"> - จำนวนสิ่งสนับสนุนการเรียนรู้ที่เพียงพอและเหมาะสมต่อการจัดการเรียนการสอน</t>
  </si>
  <si>
    <t xml:space="preserve"> - ระบบการดำเนินงานของภาควิชา/คณะ/สถาบันโดยมีส่วนร่วมของอาจารย์ประจำหลักสูตรเพื่อให้มีสิ่งสนับสนุนการเรียนรู้</t>
  </si>
  <si>
    <t>(ปริญญาโท)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</si>
  <si>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รายชื่อนักศึกษา/ผู้สำเร็จการศึกษา</t>
  </si>
  <si>
    <t>จำนวนผู้สำเร็จการศึกษาระดับปริญญาโททั้งหมด</t>
  </si>
  <si>
    <t>จำนวนผลงานนักศึกษาปริญญาโทที่ตีพิมพ์เผยแพร่</t>
  </si>
  <si>
    <t>กลุ่มสาขาวิชาวิทยาศาสตร์และเทคโนโลยี (2.5)</t>
  </si>
  <si>
    <t>กลุ่มสาขาวิชาวิทยาศาสตร์สุขภาพ (3.0)</t>
  </si>
  <si>
    <t>กลุ่มสาขาวิชามนุษยศาสตร์และสังคมศาสตร์ (0.25)</t>
  </si>
  <si>
    <t>(ปริญญาเอก) ผลงานของนักศึกษาและผู้สำเร็จการศึกษาในระดับปริญญาเอกที่ได้รับการตีพิมพ์หรือเผยแพร่</t>
  </si>
  <si>
    <t>จำนวนผลงานนักศึกษาปริญญาเอกที่ตีพิมพ์เผยแพร่</t>
  </si>
  <si>
    <t>จำนวนผู้สำเร็จการศึกษาระดับปริญญาเอกทั้งหมด</t>
  </si>
  <si>
    <t>4. คุณสมบัติของอาจารย์ผู้สอน</t>
  </si>
  <si>
    <t>5. คุณสมบัติของอาจารย์ที่ปรึกษาวิทยานิพนธ์หลักและอาจารย์ที่ปรึกษาการค้นคว้าอิสระ</t>
  </si>
  <si>
    <t>6. คุณสมบัติของอาจารย์ที่ปรึกษาวิทยานิพนธ์ร่วม (ถ้ามี)</t>
  </si>
  <si>
    <t>7. คุณสมบัติของอาจารย์ผู้สอบวิทยานิพนธ์</t>
  </si>
  <si>
    <t>8. การตีพิมพ์เผยแพร่ผลงานของผู้สำเร็จการศึกษา</t>
  </si>
  <si>
    <t>เกณฑ์ 48</t>
  </si>
  <si>
    <t>เกณฑ์ 58</t>
  </si>
  <si>
    <t>1. จำนวนอาจารย์ผู้รับผิดชอบหลักสูตร</t>
  </si>
  <si>
    <t>10. การปรับปรุงหลักสูตรตามรอบระยะเวลาที่กำหนด</t>
  </si>
  <si>
    <t>ปริญญาตรี (2548)</t>
  </si>
  <si>
    <t>ปริญญาตรี (2558)</t>
  </si>
  <si>
    <t>ปริญญาโท (2548)</t>
  </si>
  <si>
    <t>ปริญญาโท (2558)</t>
  </si>
  <si>
    <t>ปริญญาเอก (2548)</t>
  </si>
  <si>
    <t>ปริญญาเอก (2558)</t>
  </si>
  <si>
    <t>ปีของหลักสูตร</t>
  </si>
  <si>
    <t xml:space="preserve"> </t>
  </si>
  <si>
    <t xml:space="preserve"> - การควบคุมดูแลให้คำปรึกษาวิทยานิพนธ์แก่บัณฑิตศึกษา</t>
  </si>
  <si>
    <t xml:space="preserve"> - การควบคุมการดูแลการให้คำปรึกษาวิชาการและแนะแนวแก่นักศึกษาปริญญาตรี</t>
  </si>
  <si>
    <t xml:space="preserve"> - การพัฒนาศักยภาพนักศึกษาและการเสริมสร้างทักษะการเรียนรู้ในศตวรรษที่ 21</t>
  </si>
  <si>
    <t xml:space="preserve"> - การกำหนดผู้สอน</t>
  </si>
  <si>
    <t xml:space="preserve"> - การกำกับ ติดตาม และตรวจสอบการจัดทำแผนการเรียนรู้ (มคอ.3 และ มคอ.4) และการจัดการเรียนการสอน</t>
  </si>
  <si>
    <t xml:space="preserve"> - การจัดการเรียนการสอนในระดับปริญญาตรีที่มีการบูรณาการกับการวิจัย การบริการวิชาการทางสังคม และการทำนุบำรุงศิลปะและวัฒนธรรม</t>
  </si>
  <si>
    <t xml:space="preserve"> - การควบคุมห้วข้อวิทยานิพนธ์และการค้นคว้าอิสระในระดับบัณฑิตศึกษาให้สอดคล้องกับสาขาวิชาและความก้าวหน้าของศาสตร์</t>
  </si>
  <si>
    <t xml:space="preserve"> - การแต่งตั้งอาจารย์ที่ปรึกษาวิทยานิพนธ์และการค้นคว้าอิสระในระดับบัณฑิตศึกษาที่มีความเชี่ยวชาญสอดคล้องหรือสัมพันธ์กับหัวข้อวิทยานิพนธ์</t>
  </si>
  <si>
    <t xml:space="preserve"> - การช่วยเหลือ กำกับ ติดตามในการทำวิทยานิพนธ์และการค้นคว้าอิสระ และการตีพิมพ์ผลงานในระดับบัณฑิตศึกษา</t>
  </si>
  <si>
    <t xml:space="preserve"> - การประเมินวิทยานิพนธ์และการค้นคว้าอิสระในระดับบัณฑิตศึกษา</t>
  </si>
  <si>
    <t>ข้อที่ต้องดำเนินการ</t>
  </si>
  <si>
    <t>คะแนนรวม</t>
  </si>
  <si>
    <t>คะแนนเฉลี่ย</t>
  </si>
  <si>
    <t>บทที่ 3</t>
  </si>
  <si>
    <t>สรุปการประเมินคุณภาพการศึกษาภายใน ระดับหลักสูตร</t>
  </si>
  <si>
    <t>ปีการศึกษาที่ประเมิน</t>
  </si>
  <si>
    <t>คณะ</t>
  </si>
  <si>
    <t>มหาวิทยาลัย</t>
  </si>
  <si>
    <t>เทคโนโลยีอุตสาหกรรม</t>
  </si>
  <si>
    <t>มหาวิทยาลัยราชภัฏบุรีรัมย์</t>
  </si>
  <si>
    <t>เป้าหมาย</t>
  </si>
  <si>
    <t>ตัวตั้ง</t>
  </si>
  <si>
    <t>ตัวหาร</t>
  </si>
  <si>
    <t>ผลคะแนนโดยคณะกรรมการ</t>
  </si>
  <si>
    <t>องค์ประกอบที่ 1 กำกับมาตรฐาน</t>
  </si>
  <si>
    <r>
      <t xml:space="preserve">ตัวบ่งชี้ที่ 1.1 </t>
    </r>
    <r>
      <rPr>
        <sz val="14"/>
        <color indexed="8"/>
        <rFont val="TH SarabunPSK"/>
        <family val="2"/>
      </rPr>
      <t>การบริหารจัดการหลักสูตรตามเกณฑ์มาตรฐานหลักสูตรที่กำหนดโดย สกอ.</t>
    </r>
  </si>
  <si>
    <r>
      <rPr>
        <b/>
        <sz val="14"/>
        <color indexed="8"/>
        <rFont val="TH SarabunPSK"/>
        <family val="2"/>
      </rPr>
      <t xml:space="preserve">ตัวบ่งชี้ที่ 2.1 </t>
    </r>
    <r>
      <rPr>
        <sz val="14"/>
        <color indexed="8"/>
        <rFont val="TH SarabunPSK"/>
        <family val="2"/>
      </rPr>
      <t>คุณภาพบัณฑิตตามกรอบมาตรฐานคุณวุฒิระดับอุดมศึกษาแห่งชาติ</t>
    </r>
  </si>
  <si>
    <t>ผลการประเมินรายองค์ประกอบที่ 1 การกำกับมาตรฐานหลักสูตร</t>
  </si>
  <si>
    <t>ผลการประเมินรายองค์ประกอบที่ 2 บัณฑิต</t>
  </si>
  <si>
    <t>เฉลี่ยรวม</t>
  </si>
  <si>
    <t>ตัวบ่งชี้ที่ 2.2 (ปริญญาโท) ผลงานของนักศึกษาและผู้สำเร็จการศึกษาในระดับปริญญาโทที่ได้รับการตีพิมพ์เผยแพร่</t>
  </si>
  <si>
    <t>ตัวบ่งชี้ที่ 2.2 (ปริญญาเอก) ผลงานของนักศึกษาและผู้สำเร็จการศึกษาในระดับปริญญาเอกที่ได้รับการตีพิมพ์เผยแพร่</t>
  </si>
  <si>
    <r>
      <rPr>
        <b/>
        <sz val="14"/>
        <color indexed="8"/>
        <rFont val="TH SarabunPSK"/>
        <family val="2"/>
        <charset val="222"/>
      </rPr>
      <t>ตัวบ่งชี้ที่ 2.2</t>
    </r>
    <r>
      <rPr>
        <sz val="14"/>
        <color indexed="8"/>
        <rFont val="TH SarabunPSK"/>
        <family val="2"/>
        <charset val="222"/>
      </rPr>
      <t xml:space="preserve"> ร้อยละบัณฑิต</t>
    </r>
    <r>
      <rPr>
        <sz val="14"/>
        <color indexed="10"/>
        <rFont val="TH SarabunPSK"/>
        <family val="2"/>
        <charset val="222"/>
      </rPr>
      <t>ปริญญาตรี</t>
    </r>
    <r>
      <rPr>
        <sz val="14"/>
        <color indexed="8"/>
        <rFont val="TH SarabunPSK"/>
        <family val="2"/>
        <charset val="222"/>
      </rPr>
      <t>ที่ได้งานทำ หรือประกอบอาชีพอิสระภายใน 1 ปี</t>
    </r>
  </si>
  <si>
    <r>
      <rPr>
        <b/>
        <sz val="14"/>
        <color indexed="8"/>
        <rFont val="TH SarabunPSK"/>
        <family val="2"/>
      </rPr>
      <t>ตัวบ่งชี้ที่ 3.1</t>
    </r>
    <r>
      <rPr>
        <sz val="14"/>
        <color indexed="8"/>
        <rFont val="TH SarabunPSK"/>
        <family val="2"/>
      </rPr>
      <t xml:space="preserve"> การรับนักศึกษา</t>
    </r>
  </si>
  <si>
    <r>
      <rPr>
        <b/>
        <sz val="14"/>
        <color indexed="8"/>
        <rFont val="TH SarabunPSK"/>
        <family val="2"/>
      </rPr>
      <t xml:space="preserve">ตัวบ่งชี้ที่ 3.2 </t>
    </r>
    <r>
      <rPr>
        <sz val="14"/>
        <color indexed="8"/>
        <rFont val="TH SarabunPSK"/>
        <family val="2"/>
      </rPr>
      <t>การส่งเสริมและพัฒนานักศึกษา</t>
    </r>
  </si>
  <si>
    <r>
      <rPr>
        <b/>
        <sz val="14"/>
        <color indexed="8"/>
        <rFont val="TH SarabunPSK"/>
        <family val="2"/>
      </rPr>
      <t xml:space="preserve">ตัวบ่งชี้ที่ 3.3 </t>
    </r>
    <r>
      <rPr>
        <sz val="14"/>
        <color indexed="8"/>
        <rFont val="TH SarabunPSK"/>
        <family val="2"/>
      </rPr>
      <t>ผลที่เกิดกับนักศึกษา</t>
    </r>
  </si>
  <si>
    <t>ผลการประเมินรายองค์ประกอบที่ 3 นักศึกษา</t>
  </si>
  <si>
    <t>องค์ประกอบที่ 4 อาจารย์</t>
  </si>
  <si>
    <r>
      <rPr>
        <b/>
        <sz val="14"/>
        <color indexed="8"/>
        <rFont val="TH SarabunPSK"/>
        <family val="2"/>
      </rPr>
      <t xml:space="preserve">ตัวบ่งชี้ที่ 4.1 </t>
    </r>
    <r>
      <rPr>
        <sz val="14"/>
        <color indexed="8"/>
        <rFont val="TH SarabunPSK"/>
        <family val="2"/>
      </rPr>
      <t>การบริหารและพัฒนาอาจารย์</t>
    </r>
  </si>
  <si>
    <r>
      <rPr>
        <b/>
        <sz val="14"/>
        <color indexed="8"/>
        <rFont val="TH SarabunPSK"/>
        <family val="2"/>
      </rPr>
      <t xml:space="preserve">ตัวบ่งชี้ที่ 4.2 </t>
    </r>
    <r>
      <rPr>
        <sz val="14"/>
        <color indexed="8"/>
        <rFont val="TH SarabunPSK"/>
        <family val="2"/>
      </rPr>
      <t>คุณภาพอาจารย์</t>
    </r>
  </si>
  <si>
    <r>
      <rPr>
        <b/>
        <sz val="14"/>
        <color indexed="8"/>
        <rFont val="TH SarabunPSK"/>
        <family val="2"/>
      </rPr>
      <t>ตัวบ่งชี้ที่ 4.2.1</t>
    </r>
    <r>
      <rPr>
        <sz val="14"/>
        <color indexed="8"/>
        <rFont val="TH SarabunPSK"/>
        <family val="2"/>
      </rPr>
      <t xml:space="preserve"> ร้อยละของอาจารย์ประจำหลักสูตรที่มีคุณวุฒิปริญญาเอก</t>
    </r>
  </si>
  <si>
    <r>
      <rPr>
        <b/>
        <sz val="14"/>
        <color indexed="8"/>
        <rFont val="TH SarabunPSK"/>
        <family val="2"/>
      </rPr>
      <t xml:space="preserve">ตัวบ่งชี้ที่ 4.2.2 </t>
    </r>
    <r>
      <rPr>
        <sz val="14"/>
        <color indexed="8"/>
        <rFont val="TH SarabunPSK"/>
        <family val="2"/>
      </rPr>
      <t>ร้อยละของอาจารย์ประจำหลักสูตรที่ดำรงตำแหน่งทางวิชาการ</t>
    </r>
  </si>
  <si>
    <r>
      <rPr>
        <b/>
        <sz val="14"/>
        <color indexed="8"/>
        <rFont val="TH SarabunPSK"/>
        <family val="2"/>
      </rPr>
      <t xml:space="preserve">ตัวบ่งชี้ที่ 4.2.3 </t>
    </r>
    <r>
      <rPr>
        <sz val="14"/>
        <color indexed="8"/>
        <rFont val="TH SarabunPSK"/>
        <family val="2"/>
      </rPr>
      <t>ผลงานทางวิชาการของอาจารย์ประจำหลักสูตร</t>
    </r>
  </si>
  <si>
    <t>ตัวบ่งชี้ที่ 4.2.4 บทความอาจารย์หลักสูตร ป.เอก ที่ได้รับการอ้างอิงในฐานข้อมูล TCI และ Scopus ต่อจำนวนอาจารย์ประจำหลักสูตร</t>
  </si>
  <si>
    <r>
      <rPr>
        <b/>
        <sz val="14"/>
        <color indexed="8"/>
        <rFont val="TH SarabunPSK"/>
        <family val="2"/>
      </rPr>
      <t xml:space="preserve">ตัวบ่งชี้ที่ 4.3 </t>
    </r>
    <r>
      <rPr>
        <sz val="14"/>
        <color indexed="8"/>
        <rFont val="TH SarabunPSK"/>
        <family val="2"/>
      </rPr>
      <t>ผลที่เกิดกับอาจารย์</t>
    </r>
  </si>
  <si>
    <t>ผลการประเมินรายองค์ประกอบที่ 4 อาจารย์</t>
  </si>
  <si>
    <r>
      <rPr>
        <b/>
        <sz val="14"/>
        <color indexed="8"/>
        <rFont val="TH SarabunPSK"/>
        <family val="2"/>
      </rPr>
      <t xml:space="preserve">ตัวบ่งชี้ที่ 5.1 </t>
    </r>
    <r>
      <rPr>
        <sz val="14"/>
        <color indexed="8"/>
        <rFont val="TH SarabunPSK"/>
        <family val="2"/>
      </rPr>
      <t>สาระของรายวิชาในหลักสูตร</t>
    </r>
  </si>
  <si>
    <r>
      <rPr>
        <b/>
        <sz val="14"/>
        <color indexed="8"/>
        <rFont val="TH SarabunPSK"/>
        <family val="2"/>
      </rPr>
      <t xml:space="preserve">ตัวบ่งชี้ที่ 5.2 </t>
    </r>
    <r>
      <rPr>
        <sz val="14"/>
        <color indexed="8"/>
        <rFont val="TH SarabunPSK"/>
        <family val="2"/>
      </rPr>
      <t>การวางระบบผู้สอนและกระบวน การเรียนการสอน</t>
    </r>
  </si>
  <si>
    <r>
      <rPr>
        <b/>
        <sz val="14"/>
        <color indexed="8"/>
        <rFont val="TH SarabunPSK"/>
        <family val="2"/>
      </rPr>
      <t xml:space="preserve">ตัวบ่งชี้ที่ 5.3 </t>
    </r>
    <r>
      <rPr>
        <sz val="14"/>
        <color indexed="8"/>
        <rFont val="TH SarabunPSK"/>
        <family val="2"/>
      </rPr>
      <t>การประเมินผู้เรียน</t>
    </r>
  </si>
  <si>
    <r>
      <rPr>
        <b/>
        <sz val="14"/>
        <color indexed="8"/>
        <rFont val="TH SarabunPSK"/>
        <family val="2"/>
      </rPr>
      <t xml:space="preserve">ตัวบ่งชี้ที่ 5.4 </t>
    </r>
    <r>
      <rPr>
        <sz val="14"/>
        <color indexed="8"/>
        <rFont val="TH SarabunPSK"/>
        <family val="2"/>
      </rPr>
      <t>ผลการดำเนินงานหลักสูตรตามกรอบมาตรฐานคุณวุฒิระดับอุดมศึกษาแห่งชาติ</t>
    </r>
  </si>
  <si>
    <t>ผลการประเมินรายองค์ประกอบที่ 5 หลักสูตร การเรียนการสอน การประเมินผู้เรียน</t>
  </si>
  <si>
    <r>
      <rPr>
        <b/>
        <sz val="14"/>
        <color indexed="8"/>
        <rFont val="TH SarabunPSK"/>
        <family val="2"/>
      </rPr>
      <t xml:space="preserve">ตัวบ่งชี้ที่ 6.1 </t>
    </r>
    <r>
      <rPr>
        <sz val="14"/>
        <color indexed="8"/>
        <rFont val="TH SarabunPSK"/>
        <family val="2"/>
      </rPr>
      <t>สิ่งสนับสนุนการเรียนการสอน</t>
    </r>
  </si>
  <si>
    <t>กรณีมีบัณฑิตจบ</t>
  </si>
  <si>
    <t>รวมตัวบ่งชี้</t>
  </si>
  <si>
    <t>ผลการประเมินรายองค์ประกอบที่ 6 สิ่งสนับสนุนการเรียนรู้</t>
  </si>
  <si>
    <t>องค์ประกอบ</t>
  </si>
  <si>
    <t>จำนวนตัวบ่งชี้</t>
  </si>
  <si>
    <t>Input</t>
  </si>
  <si>
    <t>Process</t>
  </si>
  <si>
    <t>Output</t>
  </si>
  <si>
    <t>คะแนน เฉลี่ย</t>
  </si>
  <si>
    <t>ระดับคุณภาพ</t>
  </si>
  <si>
    <t>ผลการประเมิน</t>
  </si>
  <si>
    <t>จุดที่ควรพัฒนาและแนวทางปรับปรุง</t>
  </si>
  <si>
    <t>ตารางที่ 2 ผลการวิเคราะห์คุณภาพการศึกษาภายในระดับหลักสูตร</t>
  </si>
  <si>
    <r>
      <t xml:space="preserve">ตารางที่ 3 ผลการวิเคราะห์จุดเด่นและแนวทางเสริม จุดที่ควรพัฒนาและแนวทางปรับปรุง </t>
    </r>
    <r>
      <rPr>
        <sz val="14"/>
        <color indexed="8"/>
        <rFont val="TH SarabunPSK"/>
        <family val="2"/>
      </rPr>
      <t>(ไม่เกิน 3 ข้อ)</t>
    </r>
  </si>
  <si>
    <t>โปรแกรมคำนวณการประเมินประกันคุณภาพการศึกษาภายในระดับหลักสูตร</t>
  </si>
  <si>
    <t>การใช้งาน</t>
  </si>
  <si>
    <t xml:space="preserve"> - พิมพ์ข้อมูลลงในช่องสีฟ้า</t>
  </si>
  <si>
    <t xml:space="preserve"> - ช่องสีส้ม คลิกเลือกข้อมูลใช้งาน</t>
  </si>
  <si>
    <t>โปรแกรมคำนวณ โดย ดร.สุวัฒน์  มณีวรรณ</t>
  </si>
  <si>
    <t>กรุณาศึกษาการใช้งาน อาจมีข้อผิดพลาดจากการคำนวณ</t>
  </si>
  <si>
    <t>(โปรแกรมอาจไม่สมบูรณ์)</t>
  </si>
  <si>
    <t>รายงานผลการประเมินคุณภาพการศึกษาภายใน</t>
  </si>
  <si>
    <t>รายงาน ณ วันที่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</si>
  <si>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</si>
  <si>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</si>
  <si>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</si>
  <si>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</si>
  <si>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</si>
  <si>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</si>
  <si>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</si>
  <si>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</si>
  <si>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</si>
  <si>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</si>
  <si>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</si>
  <si>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</si>
  <si>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คำนำ</t>
  </si>
  <si>
    <t xml:space="preserve">ประธานคณะกรรมการประเมินคุณภาพการศึกษาภายใน ระดับหลักสูตร </t>
  </si>
  <si>
    <t>ลงชื่อ.........................................................................</t>
  </si>
  <si>
    <t>บทสรุปสำหรับผู้บริหารการตรวจสอบ</t>
  </si>
  <si>
    <r>
      <t>จุดเด่นและแนวทางเสริม</t>
    </r>
    <r>
      <rPr>
        <sz val="16"/>
        <color indexed="8"/>
        <rFont val="TH SarabunPSK"/>
        <family val="2"/>
      </rPr>
      <t>/</t>
    </r>
    <r>
      <rPr>
        <b/>
        <sz val="16"/>
        <color indexed="8"/>
        <rFont val="TH SarabunPSK"/>
        <family val="2"/>
      </rPr>
      <t>จุดที่ควรพัฒนาและแนวทางปรับปรุง</t>
    </r>
  </si>
  <si>
    <t>จุดเด่นและแนวทางเสริม</t>
  </si>
  <si>
    <t>วิธีการประเมิน</t>
  </si>
  <si>
    <t>1) การวางแผนและการประเมิน (ก่อน ระหว่าง และหลังการตรวจประเมิน)</t>
  </si>
  <si>
    <t>2) การตรวจสอบความน่าเชื่อถือของข้อมูล</t>
  </si>
  <si>
    <t xml:space="preserve">     2.1) ข้อมูลส่วนที่เป็นรายงานการประเมินตนเองการตรวจสอบความถูกต้องของข้อมูลในเอกสารรายงานการประเมินตนเองตรวจสอบโดยศึกษาข้อมูลเพิ่มเติมจากต้นฉบับ  ตรวจสอบเอกสารหลักฐาน  สัมภาษณ์ผู้เกี่ยวข้อง และศึกษาสังเกตสถานการณ์จริง</t>
  </si>
  <si>
    <t xml:space="preserve">     ทั้งนี้เกณฑ์การตัดสินผลเป็นไปตามที่สำนักงานคณะกรรมการการอุดมศึกษากำหนด </t>
  </si>
  <si>
    <t>ชื่อที่จะปรากฎในระบบ</t>
  </si>
  <si>
    <t>ข้อที่ดำเนินงาน</t>
  </si>
  <si>
    <t>ข้อที่ประเมิน</t>
  </si>
  <si>
    <t xml:space="preserve">   1.1) การดำเนินการก่อนการตรวจประเมิน</t>
  </si>
  <si>
    <t xml:space="preserve">          (1) คณะกรรมการประเมินคุณภาพการศึกษาภายในระดับหลักสูตรประชุมร่วมกับคณะกรรมการบริหารหลักสูตรและคณาจารย์ประจำ เพื่อแนะนำคณะกรรมการตรวจประเมิน  แจ้งวัตถุประสงค์การตรวจประเมิน และรับฟังการสรุปผลการดำเนินงานของหลักสูตร</t>
  </si>
  <si>
    <t xml:space="preserve">          (3) ตรวจเอกสารและหลักฐานเพิ่มเติม พร้อมสัมภาษณ์ผู้ปฏิบัติ/รับผิดชอบจัดทำรายงานผลการดำเนินงานของตัวบ่งชี้</t>
  </si>
  <si>
    <t xml:space="preserve">          (4) สังเกตอาคารสถานที่ให้บริการนักศึกษา ห้องสมุด ห้องเรียน  และการดำเนินกิจกรรมการเรียน การสอน</t>
  </si>
  <si>
    <t xml:space="preserve">          (5) ประชุมคณะกรรมการเพื่อสรุปข้อมูล สรุปผลการประเมิน และการเตรียมการเสนอผลการประเมิน</t>
  </si>
  <si>
    <r>
      <t xml:space="preserve">   1.3) การดำเนินการหลังตรวจประเมิน</t>
    </r>
    <r>
      <rPr>
        <sz val="16"/>
        <color indexed="8"/>
        <rFont val="TH SarabunPSK"/>
        <family val="2"/>
      </rPr>
      <t>มีกิจกรรมหลัก ๆ ประกอบด้วย</t>
    </r>
  </si>
  <si>
    <t xml:space="preserve">          (1) เสนอผลการประเมินด้วยวาจาแก่ผู้บริหารหลักสูตร คณาจารย์ และผู้ที่เกี่ยวข้อง เปิดโอกาสให้หลักสูตรได้ชี้แจง ทำความเข้าใจร่วมกัน เป็นอันสิ้นสุดกระบวนการตรวจประเมิน</t>
  </si>
  <si>
    <t xml:space="preserve">บทที่ 1 </t>
  </si>
  <si>
    <t>บทนำ</t>
  </si>
  <si>
    <t>ชื่อภาษาอังกฤษ</t>
  </si>
  <si>
    <t>Electronic Communications</t>
  </si>
  <si>
    <t>วท.บ.</t>
  </si>
  <si>
    <t>1.3 ประวัติความเป็นมาของหลักสูตร</t>
  </si>
  <si>
    <t>1.2 รหัสหลักสูตร</t>
  </si>
  <si>
    <t>1.1 ชื่อหลักสูตร</t>
  </si>
  <si>
    <t>1.4 ผลการปรับปรุงตามข้อเสนอแนะของผลการประเมินปีที่ผ่านมา</t>
  </si>
  <si>
    <t>1.5 อาจารย์ประจำหลักสูตร</t>
  </si>
  <si>
    <t>ลำดับ</t>
  </si>
  <si>
    <t>ตำแหน่งวิชาการ</t>
  </si>
  <si>
    <t>คุณวุฒิ-สาขาวิชา</t>
  </si>
  <si>
    <t>ปีที่จบ</t>
  </si>
  <si>
    <t>สถาบันการศึกษา</t>
  </si>
  <si>
    <t xml:space="preserve">   1.5.2 อาจารย์ประจำหลักสูตร (ชุดปัจจุบัน)</t>
  </si>
  <si>
    <t xml:space="preserve">    1.5.1 อาจารย์ประจำหลักสูตร (ชุดที่ระบุใน มคอ.2)</t>
  </si>
  <si>
    <t xml:space="preserve">1.6 อาจารย์ผู้สอน </t>
  </si>
  <si>
    <t>1.6.1 อาจารย์ประจำ</t>
  </si>
  <si>
    <t>1.6.2 อาจารย์พิเศษ</t>
  </si>
  <si>
    <t>1.7 สถานที่จัดการเรียนการสอน</t>
  </si>
  <si>
    <t>&lt;-- ป้อนรหัสหลักสูตร</t>
  </si>
  <si>
    <t>&lt;-- ป้อนประวัติหลักสูตร และขยายช่องให้เหมาะสมกับข้อความ</t>
  </si>
  <si>
    <t>ข้อเสนอแนะปีที่ผ่านมา</t>
  </si>
  <si>
    <t>ผลการปรับปรุงตามข้อเสนอแนะ</t>
  </si>
  <si>
    <t xml:space="preserve">          (2) สัมภาษณ์ผู้บริหารและผู้มีส่วนได้ส่วนเสียที่เกี่ยวข้อง เช่น ประธานหลักสูตร อาจารย์ประจำหลักสูตร นักศึกษา ผู้ทรงคุณวุฒิภายนอก ศิษย์เก่า ฯลฯ </t>
  </si>
  <si>
    <t>ชื่อย่อปริญญา</t>
  </si>
  <si>
    <t>ป.โท เอก 2548</t>
  </si>
  <si>
    <t>ป.โท เอก 2558</t>
  </si>
  <si>
    <t>3. คุณสมบัติของอาจารย์ผู้รับผิดชอบหลักสูตร</t>
  </si>
  <si>
    <t>9. ภาระงานอาจารย์ที่ปรึกษาวิทยานิพนธ์และการค้นคว้าอิสระในระดับบัณฑิตศึกษา</t>
  </si>
  <si>
    <t>10.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</si>
  <si>
    <t>11. การปรับปรุงหลักสูตรตามรอบระยะเวลาที่กำหนด</t>
  </si>
  <si>
    <t>4. คุณสมบัติอาจารย์ผู้สอน</t>
  </si>
  <si>
    <t>3. คุณสมบัติอาจารย์ประจำหลักสูตร</t>
  </si>
  <si>
    <t>2. คุณสมบัติอาจารย์ผู้รับผิดชอบหลักสูตร</t>
  </si>
  <si>
    <t xml:space="preserve">     2.2) ข้อมูลส่วนที่เป็นผลการประเมินของคณะกรรมการการตรวจสอบความถูกต้องของข้อมูลที่เป็นผลการประเมินของคณะกรรมการตรวจสอบโดยการ (1) ตรวจสอบกับคำอธิบายของคู่มือการประกันคุณภาพ (2) การนำเสนอผลต่อที่ประชุมคณะกรรมการ  และ (3) การเสนอผลการประเมินด้วยวาจาต่อที่ประชุมของบุคลากรของหน่วยรับตรวจเพื่อการให้ยืนยันความถูกต้องของข้อมูล</t>
  </si>
  <si>
    <r>
      <t xml:space="preserve">   1.2) การดำเนินการระหว่างตรวจประเมิน </t>
    </r>
    <r>
      <rPr>
        <sz val="16"/>
        <color indexed="8"/>
        <rFont val="TH SarabunPSK"/>
        <family val="2"/>
      </rPr>
      <t>มีกิจกรรมหลัก ๆ ประกอบด้วย</t>
    </r>
  </si>
  <si>
    <t xml:space="preserve">    1.5.1 อาจารย์ผู้รับผิดชอบหลักสูตร (ชุดที่ระบุใน มคอ.2)</t>
  </si>
  <si>
    <t xml:space="preserve">   1.5.2 อาจารย์ผู้รับผิดชอบหลักสูตร (ชุดปัจจุบัน)</t>
  </si>
  <si>
    <t>จำนวนผู้สำเร็จการศึกษาระดับปริญญาตรีทั้งหมด</t>
  </si>
  <si>
    <t>คะแนนเฉลี่ยที่ได้จากการประเมินบัณฑิต (คะแนนเต็ม 5)</t>
  </si>
  <si>
    <t>จำนวนบัณฑิตที่ได้รับการประเมินทั้งหมด</t>
  </si>
  <si>
    <t>&lt;-- ป้อนจำนวนผู้สำเร็จการศึกษาระดับปริญญาโท</t>
  </si>
  <si>
    <t>&lt;-- ป้อนจำนวนผู้สำเร็จการศึกษาระดับปริญญาเอก</t>
  </si>
  <si>
    <t>1. คำนวณค่าร้อยละของผลรวมถ่วงน้ำหนักของผลงานที่ตีพิมพ์หรือเผยแพร่ต่อผู้สำเร็จการศึกษา ตามหลักสูตร</t>
  </si>
  <si>
    <t>(3) มีรายละเอียดของรายวิชา และรายละเอียดของประสบการณ์ภาคสนาม(ถ้ามี) ตามแบบ มคอ.3 และ มคอ.4 อย่างน้อยก่อนการเปิดสอนในแต่ละภาคการศึกษาให้ครบทุกรายวิชา</t>
  </si>
  <si>
    <t>ผลลัพธ์ (%หรือสัดส่วน)</t>
  </si>
  <si>
    <t>ต้องประเมิน</t>
  </si>
  <si>
    <t>กรณี
ไม่ประเมิน
ตัวบ่งชี้</t>
  </si>
  <si>
    <t>1) การกำกับมาตรฐาน</t>
  </si>
  <si>
    <t>2) บัณฑิต</t>
  </si>
  <si>
    <t>3) นักศึกษา</t>
  </si>
  <si>
    <t>4) อาจารย์</t>
  </si>
  <si>
    <t>5) หลักสูตร การเรียนการสอน การประเมินผู้เรียน</t>
  </si>
  <si>
    <t>6) สิ่งสนับสนุนการเรียนรู้</t>
  </si>
  <si>
    <t>โทร.081-6607526  Line ID : suwatm</t>
  </si>
  <si>
    <t>ควรใช้การคำนวณมือประกอบการพิจารณา</t>
  </si>
  <si>
    <t>คณะเทคโนโลยีอุตสาหกรรม มหาวิทยาลัยราชภัฏบุรีรัมย์</t>
  </si>
  <si>
    <t>จำนวนบัณฑิตระดับปริญญาตรีที่ได้งานทำภายใน 1 ปีหลังสำเร็จการศึกษา 
(ไม่นับรวมผู้ที่ประกอบอาชีพอิสระ) </t>
  </si>
  <si>
    <t>เอกสารประกอบ/
ข้อค้นพบกรรมการ</t>
  </si>
  <si>
    <t>Main Menu</t>
  </si>
  <si>
    <t>ตัวบ่งชี้ที่ 2.1 คุณภาพบัณฑิตตามกรอบมาตรฐานคุณวุฒิระดับอุดมศึกษาแห่งชาติ</t>
  </si>
  <si>
    <t>ตัวบ่งชี้ที่ 2.2 ร้อยละบัณฑิตปริญญาตรีที่ได้งานทำ หรือประกอบอาชีพอิสระภายใน 1 ปี</t>
  </si>
  <si>
    <t>ตัวบ่งชี้ที่ 3.1 การรับนักศึกษา</t>
  </si>
  <si>
    <t>ตัวบ่งชี้ที่ 3.2 การส่งเสริมและพัฒนานักศึกษา</t>
  </si>
  <si>
    <t>ตัวบ่งชี้ที่ 4.1 การบริหารและพัฒนาอาจารย์</t>
  </si>
  <si>
    <t>ตัวบ่งชี้ที่ 4.2 คุณภาพอาจารย์</t>
  </si>
  <si>
    <t>ตัวบ่งชี้ที่ 4.3 ผลที่เกิดกับอาจารย์</t>
  </si>
  <si>
    <t>ตัวบ่งชี้ที่ 4.2 คุณภาพอาจารย์ (ปริญญาเอก)</t>
  </si>
  <si>
    <t>องค์ประกอบที่ 5 หลักสูตร การเรียนการสอน และการประเมินผู้เรียน</t>
  </si>
  <si>
    <t>ตัวบ่งชี้ที่ 5.2 การวางระบบผู้สอนและกระบวน การเรียนการสอน</t>
  </si>
  <si>
    <t>ตัวบ่งชี้ที่ 5.1 สาระของรายวิชาในหลักสูตร</t>
  </si>
  <si>
    <t>ตัวบ่งชี้ที่ 5.3 การประเมินผู้เรียน</t>
  </si>
  <si>
    <t>ตัวบ่งชี้ที่ 5.4 ผลการดำเนินงานหลักสูตรตามกรอบมาตรฐานคุณวุฒิระดับอุดมศึกษาแห่งชาติ</t>
  </si>
  <si>
    <t>ตัวบ่งชี้ที่ 6.1 สิ่งสนับสนุนการเรียนรู้</t>
  </si>
  <si>
    <t>ผลการประเมินรายตัวบ่งชี้ตามองค์ประกอบประกันคุณภาพ</t>
  </si>
  <si>
    <t>ผลการวิเคราะห์คุณภาพการศึกษาภายในระดับหลักสูตร</t>
  </si>
  <si>
    <t>เมนูหลัก การประเมินประกันคุณภาพ</t>
  </si>
  <si>
    <t>Next &gt;&gt; ตัวบ่งชี้ที่ 4.1</t>
  </si>
  <si>
    <t>Next &gt;&gt; ตัวบ่งชี้ที่ 4.2</t>
  </si>
  <si>
    <t>Next &gt;&gt; ตัวบ่งชี้ที่ 4.3</t>
  </si>
  <si>
    <t>Next &gt;&gt; ตัวบ่งชี้ที่ 4.2 (ปริญญาเอก)</t>
  </si>
  <si>
    <t>&lt;&lt; Previous ตัวบ่งชี้ที่ 1.1</t>
  </si>
  <si>
    <t>&lt;&lt; Previois ตัวบ่งชี้ที่ 4.1</t>
  </si>
  <si>
    <t>&lt;&lt; Previois ตัวบ่งชี้ที่ 4.2</t>
  </si>
  <si>
    <t>&lt;&lt; Previois ตัวบ่งชี้ที่ 4.2 (ปริญญาเอก)</t>
  </si>
  <si>
    <t>Next &gt;&gt; ตัวบ่งชี้ที่ 2.1</t>
  </si>
  <si>
    <t>&lt;&lt; Previois ตัวบ่งชี้ที่ 4.3</t>
  </si>
  <si>
    <t>Next &gt;&gt; ตัวบ่งชี้ที่ 2.2</t>
  </si>
  <si>
    <t>&lt;&lt; Previois ตัวบ่งชี้ที่ 2.1</t>
  </si>
  <si>
    <t>Next &gt;&gt; ตัวบ่งชี้ที่ 2.2 (ปริญญาโท)</t>
  </si>
  <si>
    <t>&lt;&lt; Previois ตัวบ่งชี้ที่ 2.2 (ปริญญาตรี)</t>
  </si>
  <si>
    <t>Next &gt;&gt; ตัวบ่งชี้ที่ 2.2 (ปริญญาเอก)</t>
  </si>
  <si>
    <t>&lt;&lt; Previois ตัวบ่งชี้ที่ 2.2 (ปริญญาโท)</t>
  </si>
  <si>
    <t>Next &gt;&gt; ตัวบ่งชี้ที่ 3.1</t>
  </si>
  <si>
    <t>&lt;&lt; Previois ตัวบ่งชี้ที่ 2.2 (ปริญญาเอก)</t>
  </si>
  <si>
    <t>Next &gt;&gt; ตัวบ่งชี้ที่ 3.2</t>
  </si>
  <si>
    <t>&lt;&lt; Previois ตัวบ่งชี้ที่ 3.1</t>
  </si>
  <si>
    <t>Next &gt;&gt; ตัวบ่งชี้ที่ 3.3</t>
  </si>
  <si>
    <t>&lt;&lt; Previois ตัวบ่งชี้ที่ 3.2</t>
  </si>
  <si>
    <t>Next &gt;&gt; ตัวบ่งชี้ที่ 5.1</t>
  </si>
  <si>
    <t>&lt;&lt; Previois ตัวบ่งชี้ที่ 3.3</t>
  </si>
  <si>
    <t>Next &gt;&gt; ตัวบ่งชี้ที่ 5.2</t>
  </si>
  <si>
    <t>&lt;&lt; Previois ตัวบ่งชี้ที่ 5.1</t>
  </si>
  <si>
    <t>Next &gt;&gt; ตัวบ่งชี้ที่ 5.3</t>
  </si>
  <si>
    <t>&lt;&lt; Previois ตัวบ่งชี้ที่ 5.2</t>
  </si>
  <si>
    <t>Next &gt;&gt; ตัวบ่งชี้ที่ 5.4</t>
  </si>
  <si>
    <t>&lt;&lt; Previois ตัวบ่งชี้ที่ 5.3</t>
  </si>
  <si>
    <t>Next &gt;&gt; ตัวบ่งชี้ที่ 6.1</t>
  </si>
  <si>
    <t>&lt;&lt; Previois ตัวบ่งชี้ที่ 5.4</t>
  </si>
  <si>
    <t>Next &gt;&gt; ตารางสรุป</t>
  </si>
  <si>
    <t>&lt;&lt; Previois ตัวบ่งชี้ที่ 6.1</t>
  </si>
  <si>
    <t>Next &gt;&gt; ตารางวิเคราะห์</t>
  </si>
  <si>
    <t>&lt;&lt; Previois ตารางสรุป</t>
  </si>
  <si>
    <t>ตัวบ่งชี้ที่ 3.3 ผลที่เกิดกับนักศึกษา</t>
  </si>
  <si>
    <t>ผลการ
ดำเนินงาน</t>
  </si>
  <si>
    <t>คะแนนประเมินจากกรรมการ</t>
  </si>
  <si>
    <t>คะแนนประเมิน
จากกรรมการ</t>
  </si>
  <si>
    <t>การบรรลุ
เป้าหมาย</t>
  </si>
  <si>
    <t>รายชื่อคณะกรรมการประเมิน</t>
  </si>
  <si>
    <t>ประธานกรรมการ</t>
  </si>
  <si>
    <t>กรรมการ</t>
  </si>
  <si>
    <t>ประเด็นประเมินความพึงพอใจ</t>
  </si>
  <si>
    <t>ปีการศึกษา</t>
  </si>
  <si>
    <t>เฉลี่ย</t>
  </si>
  <si>
    <t>ความพึงพอใจต่อการบริหารหลักสูตร</t>
  </si>
  <si>
    <t>อัตราการสำเร็จ</t>
  </si>
  <si>
    <t>จำนวน
รับเข้า</t>
  </si>
  <si>
    <t>ประเด็นในตัวบ่งชี้ที่ 3.1 และ 3.2</t>
  </si>
  <si>
    <t>2.2 ร้อยละของบัณฑิตปริญญาตรีที่ได้งานทำหรือประกอบอาชีพอิสระ</t>
  </si>
  <si>
    <t>5.4 ผลการดำเนินงานหลักสูตรตามกรอบมาตรฐานคุณวุฒิระดับอุดมศึกษาแห่งชาติ</t>
  </si>
  <si>
    <t>6.1 สิ่งสนับสนุนการเรียนรู้</t>
  </si>
  <si>
    <t>ประเภทอาจารย์</t>
  </si>
  <si>
    <t>อาจารย์ผู้รับผิดชอบหลักสูตร</t>
  </si>
  <si>
    <t>อาจารย์ประจำหลักสูตร</t>
  </si>
  <si>
    <t>อาจารย์ประจำ</t>
  </si>
  <si>
    <t>-</t>
  </si>
  <si>
    <t>4.2 คุณภาพอาจารย์</t>
  </si>
  <si>
    <t xml:space="preserve"> - กรณีหลักสูตรต่อเนื่องหรือเทียบโอน มีการจบก่อน ให้นำจำนวน นศ.ทั้งสองระบบมารวมกัน</t>
  </si>
  <si>
    <t>คุณภาพอาจารย์ - ประเมินเฉพาะหลักสูตรปริญญาเอกเท่านั้น</t>
  </si>
  <si>
    <t>อัตราการ
คงอยู่</t>
  </si>
  <si>
    <t>ป้อนวัน-เดือน-ปี ที่รับการประเมินในช่องสีฟ้าด้านล่าง</t>
  </si>
  <si>
    <t>1.</t>
  </si>
  <si>
    <t>2.</t>
  </si>
  <si>
    <t>3.</t>
  </si>
  <si>
    <t>4.</t>
  </si>
  <si>
    <t>5.</t>
  </si>
  <si>
    <t xml:space="preserve"> - ช่องสีชมพู กรณีหลักสูตรต่อเนื่อง</t>
  </si>
  <si>
    <t xml:space="preserve"> - ช่องสีเหลือง กรณีจบแบบเทียบโอน</t>
  </si>
  <si>
    <t xml:space="preserve"> - ช่องสีเขียว กรณีหลักสูตร 4 ปี</t>
  </si>
  <si>
    <t xml:space="preserve"> - ช่องสีม่วง กรณีหลักสูตร 5 ปี</t>
  </si>
  <si>
    <t>จำนวนนักศึกษาจบตามแผน</t>
  </si>
  <si>
    <t>ออก
สะสม</t>
  </si>
  <si>
    <t>ตก
ค้าง/คงอยู่</t>
  </si>
  <si>
    <t xml:space="preserve"> ในแต่ละรหัสของ นศ.</t>
  </si>
  <si>
    <t>ชื่อ-สกุล ไม่ใส่คำนำหน้า</t>
  </si>
  <si>
    <t>ข้อที่ไม่ได้ดำเนินการ :</t>
  </si>
  <si>
    <t>2. วิทยาศาสตร์กายภาพ 20:1</t>
  </si>
  <si>
    <t>3. วิศวกรรมศาสตร์ 20:1</t>
  </si>
  <si>
    <t>4. สถาปัตยกรรมศาสตร์และการผังเมือง 8:1</t>
  </si>
  <si>
    <t>5. เกษตร ป่าไม้ และประมง 20:1</t>
  </si>
  <si>
    <t>6. บริหารธุรกิจ บัญชี ท่องเที่ยว เศรษฐศาสตร์ 25:1</t>
  </si>
  <si>
    <t>7. นิติศาสตร์ 50:1</t>
  </si>
  <si>
    <t>8. ครุศาสตร์ ศึกษาศาสตร์ 30:1</t>
  </si>
  <si>
    <t>9. ศิลปกรรม วิจิตรศิลป์ ประยุกต์ศิลป์ 8:1</t>
  </si>
  <si>
    <t>10. สังคมศาสตร์/มนุษยศาสตร์ 25:1</t>
  </si>
  <si>
    <t>1. วิทยาศาสตร์สุขภาพ 8:1</t>
  </si>
  <si>
    <t>ร้อยละ</t>
  </si>
  <si>
    <t>สัดส่วน X : 1</t>
  </si>
  <si>
    <t xml:space="preserve">  1.1 แพทย์ศาสตร์ 4:1</t>
  </si>
  <si>
    <t xml:space="preserve">  1.2 พยาบาลศาสตร์ 6:1</t>
  </si>
  <si>
    <t>นศ.ทุกชั้นปี</t>
  </si>
  <si>
    <r>
      <rPr>
        <b/>
        <sz val="14"/>
        <color indexed="8"/>
        <rFont val="TH SarabunPSK"/>
        <family val="2"/>
      </rPr>
      <t>คำอธิบายตัวบ่งชี้</t>
    </r>
    <r>
      <rPr>
        <sz val="14"/>
        <color indexed="8"/>
        <rFont val="TH SarabunPSK"/>
        <family val="2"/>
      </rPr>
      <t xml:space="preserve"> : ผลการประกันคุณภาพ ต้องนำไปสู่การมีอัตรากำลังอาจารย์ที่มีจำนวนเหมาะสมกับจำนวนนักศึกษาที่รับเข้าในหลักสูตร</t>
    </r>
  </si>
  <si>
    <t>* สัดส่วนอาจารย์ต่อนักศึกษาอยู่ในช่วงร้อยละ 80-120 เป็นสัดส่วนที่เหมาะสม ถือว่าอัตราคงอยู่ดีขึ้น</t>
  </si>
  <si>
    <t>รายนามคณะกรรมการประเมินประกันคุณภาพการศึกษาภายในระดับหลักสูตร</t>
  </si>
  <si>
    <t>กรรมการและเลขานุการ</t>
  </si>
  <si>
    <t xml:space="preserve"> - ไม่ประเมินตัวบ่งชี้นี้ สำหรับปริญญาตรีเท่านั้น</t>
  </si>
  <si>
    <t>&lt;-- ตรวจสอบข้อมูล เนื่องจากข้อที่ต้องดำเนินการน้อยกว่าข้อที่ผ่าน</t>
  </si>
  <si>
    <t>ชื่อประธานกรรมการ</t>
  </si>
  <si>
    <t>ชื่อกรรมการ</t>
  </si>
  <si>
    <t>Updated : 23/6/2019</t>
  </si>
  <si>
    <t>(8) อาจารย์พยาบาลประจำทุกคนมีคุณสมบัติครบตามกำหนดในมาตรฐานคุณวุฒิระดับปริญญาตรีสาขาพยาบาลศาสตร์เป็นอย่างน้อย</t>
  </si>
  <si>
    <t>(9) อาจารย์ใหม่(ถ้ามี)ทุกคนได้รับการปฐมนิเทศหรือคำแนะนำด้านการจัดการเรียนการสอน</t>
  </si>
  <si>
    <t>(10) อาจารย์ประจำทุกคนได้รับการพัฒนาด้านวิชาการและวิชาชีพไม่น้อยกว่า 15 ชั่วโมง/ปีการศึกษา</t>
  </si>
  <si>
    <t>(11) บุคลากรสายสนับสนุนการเรียนการสอนได้รับการพัฒนาตรงตามงานที่รับผิดชอบทุกคนในแต่ละปีไม่น้อยกว่าคนละ 10 ชั่วโมงต่อปีการศึกษา</t>
  </si>
  <si>
    <t>(12) ระดับความพึงพอใจของนักศึกษาปีสุดท้าย/บัณฑิตใหม่ที่มีต่อคุณภาพหลักสูตรเฉลี่ยไม่น้อยกว่า 3.51 จากคะแนนเต็ม 5</t>
  </si>
  <si>
    <t xml:space="preserve">(13) ระดับความพึงพอใจของผู้ใช้บัณฑิตใหม่ที่มีต่อบัณฑิตใหม่เฉลี่ยไม่น้อยกว่า 3.51 จากคะแนนเต็ม 5 </t>
  </si>
  <si>
    <t>(14) ระดับความพึงพอใจของนักศึกษาต่อคุณภาพการสอนของอาจารย์พยาบาลเฉลี่ยไม่น้อยกว่า 3.51 จากคะแนนเต็ม 5</t>
  </si>
  <si>
    <t>(15) ระดับความพึงพอใจของนักศึกษาต่อทรัพยากรสนับสนุนการเรียนการสอนเฉลี่ยไม่น้อยกว่า 3.51 จากคะแนนเต็ม 5</t>
  </si>
  <si>
    <t>(16) ร้อยละ100 ของนักศึกษาทุกชั้นปีได้รับการพัฒนาคุณลักษณะพิเศษตามอัตลักษณ์ที่สถาบันกำหนด</t>
  </si>
  <si>
    <t>(11) ระดับความพึงพอใจของนักศึกษาปีสุดท้าย/ บัณฑิตใหม่ที่มีต่อคุณภาพหลักสูตรเฉลี่ยไม่น้อยกว่า 3.51 จากคะแนนเต็ม 5.0</t>
  </si>
  <si>
    <t>(12) ระดับความพึงพอใจของผู้ใช้บัณฑิตที่มีต่อบัณฑิตใหม่ เฉลี่ยไม่น้อยกว่า 3.51 จากคะแนนเต็ม 5.00</t>
  </si>
  <si>
    <t>(9) อาจารย์ประจำทุกคนได้รับการพัฒนาทางวิชาการ และ/หรือวิชาชีพ อย่างน้อยปีละหนึ่งครั้ง</t>
  </si>
  <si>
    <t>มหาวิทยาลัยทั่วไป</t>
  </si>
  <si>
    <t>ประเภทมหาวิทยาลัย :</t>
  </si>
  <si>
    <t>ผศ.ชื่อ-สกุล ไม่ใส่คำนำหน้า</t>
  </si>
  <si>
    <t>อาจารย์ชื่อ-สกุล ไม่ใส่คำนำหน้า</t>
  </si>
  <si>
    <t>เลขานุการ</t>
  </si>
  <si>
    <t>ผู้ช่วยเลขานุการ</t>
  </si>
  <si>
    <t xml:space="preserve"> -</t>
  </si>
  <si>
    <t>หลักสูตรใหม่</t>
  </si>
  <si>
    <t>หลักสูตรปรับปรุง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</si>
</sst>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87" formatCode="&quot;จริง&quot;;&quot;จริง&quot;;&quot;เท็จ&quot;"/>
    <numFmt numFmtId="188" formatCode="#\ &quot;คะแนน&quot;"/>
    <numFmt numFmtId="189" formatCode="0.0"/>
    <numFmt numFmtId="190" formatCode="#\ &quot;บทความ&quot;"/>
    <numFmt numFmtId="191" formatCode="0\ &quot;บทความ&quot;"/>
    <numFmt numFmtId="192" formatCode="&quot;ระดับ&quot;\ #"/>
    <numFmt numFmtId="193" formatCode="_-* #,##0.000_-;\-* #,##0.000_-;_-* &quot;-&quot;??_-;_-@_-"/>
    <numFmt numFmtId="194" formatCode="#.00\ &quot;คะแนน&quot;"/>
    <numFmt numFmtId="195" formatCode="&quot;ร้อยละ&quot;\ ##"/>
    <numFmt numFmtId="196" formatCode="&quot;ร้อยละ&quot;\ ##.00"/>
    <numFmt numFmtId="197" formatCode="0.00\ &quot;คะแนน&quot;"/>
    <numFmt numFmtId="198" formatCode="0\ &quot;ข้อ&quot;"/>
    <numFmt numFmtId="199" formatCode="&quot;ร้อยละ&quot;\ 0"/>
    <numFmt numFmtId="200" formatCode="&quot;ร้อยละ&quot;\ 0.00"/>
    <numFmt numFmtId="201" formatCode="&quot;ค่าเฉลี่ย&quot;\ 0.00"/>
    <numFmt numFmtId="202" formatCode="&quot;ระดับ&quot;\ 0"/>
    <numFmt numFmtId="203" formatCode="\ร\้\อ\ย\ล\ะ\ ##.00"/>
    <numFmt numFmtId="204" formatCode="0\ &quot;คน&quot;"/>
    <numFmt numFmtId="205" formatCode="#,##0.00_ ;\-#,##0.00\ "/>
    <numFmt numFmtId="206" formatCode="##.##\ &quot;คะแนน&quot;"/>
    <numFmt numFmtId="207" formatCode="#\ &quot;: 1&quot;"/>
  </numFmts>
  <fonts count="46" x14ac:knownFonts="1">
    <font>
      <sz val="16"/>
      <color theme="1"/>
      <name val="TH SarabunPSK"/>
      <family val="2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9"/>
      <color indexed="81"/>
      <name val="Tahoma"/>
      <family val="2"/>
    </font>
    <font>
      <sz val="8"/>
      <color indexed="8"/>
      <name val="Leelawadee"/>
      <family val="2"/>
    </font>
    <font>
      <sz val="9"/>
      <color indexed="81"/>
      <name val="Tahoma"/>
      <family val="2"/>
    </font>
    <font>
      <sz val="14"/>
      <color indexed="8"/>
      <name val="TH SarabunPSK"/>
      <family val="2"/>
      <charset val="222"/>
    </font>
    <font>
      <sz val="14"/>
      <name val="TH SarabunPSK"/>
      <family val="2"/>
    </font>
    <font>
      <b/>
      <sz val="14"/>
      <color indexed="8"/>
      <name val="TH SarabunPSK"/>
      <family val="2"/>
      <charset val="222"/>
    </font>
    <font>
      <sz val="14"/>
      <color indexed="10"/>
      <name val="TH SarabunPSK"/>
      <family val="2"/>
      <charset val="222"/>
    </font>
    <font>
      <sz val="14"/>
      <color indexed="8"/>
      <name val="TH SarabunPSK"/>
      <family val="2"/>
      <charset val="222"/>
    </font>
    <font>
      <b/>
      <sz val="14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  <font>
      <u/>
      <sz val="16"/>
      <color theme="10"/>
      <name val="TH SarabunPSK"/>
      <family val="2"/>
      <charset val="222"/>
    </font>
    <font>
      <b/>
      <sz val="16"/>
      <color theme="1"/>
      <name val="TH SarabunPSK"/>
      <family val="2"/>
    </font>
    <font>
      <b/>
      <sz val="30"/>
      <color theme="1"/>
      <name val="TH SarabunPSK"/>
      <family val="2"/>
    </font>
    <font>
      <b/>
      <sz val="25"/>
      <color theme="1"/>
      <name val="TH SarabunPSK"/>
      <family val="2"/>
    </font>
    <font>
      <b/>
      <sz val="25"/>
      <color rgb="FF000000"/>
      <name val="TH SarabunPSK"/>
      <family val="2"/>
    </font>
    <font>
      <b/>
      <sz val="2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b/>
      <u/>
      <sz val="16"/>
      <color theme="10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  <charset val="222"/>
    </font>
    <font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sz val="18"/>
      <color theme="1"/>
      <name val="TH SarabunPSK"/>
      <family val="2"/>
      <charset val="222"/>
    </font>
    <font>
      <b/>
      <u/>
      <sz val="18"/>
      <color theme="10"/>
      <name val="TH SarabunPSK"/>
      <family val="2"/>
      <charset val="222"/>
    </font>
    <font>
      <u/>
      <sz val="14"/>
      <color theme="10"/>
      <name val="TH SarabunPSK"/>
      <family val="2"/>
    </font>
    <font>
      <sz val="16"/>
      <color theme="0"/>
      <name val="TH SarabunPSK"/>
      <family val="2"/>
      <charset val="222"/>
    </font>
    <font>
      <b/>
      <sz val="16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2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0" borderId="1" xfId="0" applyFont="1" applyBorder="1" applyAlignment="1" applyProtection="1">
      <alignment horizontal="center"/>
      <protection hidden="1"/>
    </xf>
    <xf numFmtId="0" fontId="24" fillId="0" borderId="2" xfId="0" applyFont="1" applyBorder="1" applyAlignment="1" applyProtection="1">
      <alignment vertical="center"/>
      <protection hidden="1"/>
    </xf>
    <xf numFmtId="0" fontId="25" fillId="0" borderId="0" xfId="0" applyFont="1" applyBorder="1" applyProtection="1">
      <protection hidden="1"/>
    </xf>
    <xf numFmtId="0" fontId="25" fillId="0" borderId="3" xfId="0" applyFont="1" applyBorder="1" applyProtection="1">
      <protection hidden="1"/>
    </xf>
    <xf numFmtId="0" fontId="0" fillId="0" borderId="0" xfId="0" applyBorder="1" applyProtection="1">
      <protection hidden="1"/>
    </xf>
    <xf numFmtId="0" fontId="25" fillId="0" borderId="4" xfId="0" applyFont="1" applyBorder="1" applyProtection="1">
      <protection hidden="1"/>
    </xf>
    <xf numFmtId="0" fontId="25" fillId="0" borderId="2" xfId="0" applyFont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25" fillId="0" borderId="2" xfId="0" applyFont="1" applyFill="1" applyBorder="1" applyAlignment="1" applyProtection="1">
      <alignment vertical="top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25" fillId="0" borderId="3" xfId="0" applyFont="1" applyFill="1" applyBorder="1" applyAlignment="1" applyProtection="1">
      <alignment vertical="top"/>
      <protection hidden="1"/>
    </xf>
    <xf numFmtId="0" fontId="25" fillId="0" borderId="0" xfId="0" applyFont="1" applyBorder="1" applyAlignment="1" applyProtection="1">
      <protection hidden="1"/>
    </xf>
    <xf numFmtId="0" fontId="25" fillId="0" borderId="2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26" fillId="0" borderId="2" xfId="0" applyFont="1" applyBorder="1" applyAlignment="1" applyProtection="1">
      <alignment horizontal="left" vertical="center" wrapText="1"/>
      <protection hidden="1"/>
    </xf>
    <xf numFmtId="0" fontId="26" fillId="0" borderId="0" xfId="0" applyFont="1" applyBorder="1" applyAlignment="1" applyProtection="1">
      <alignment horizontal="left" vertical="center" wrapText="1"/>
      <protection hidden="1"/>
    </xf>
    <xf numFmtId="189" fontId="25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protection hidden="1"/>
    </xf>
    <xf numFmtId="0" fontId="25" fillId="0" borderId="0" xfId="0" applyFont="1" applyBorder="1" applyProtection="1">
      <protection locked="0"/>
    </xf>
    <xf numFmtId="0" fontId="25" fillId="0" borderId="4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5" fillId="0" borderId="6" xfId="0" applyFont="1" applyBorder="1" applyProtection="1">
      <protection locked="0"/>
    </xf>
    <xf numFmtId="0" fontId="24" fillId="0" borderId="0" xfId="0" applyFont="1" applyBorder="1" applyProtection="1">
      <protection hidden="1"/>
    </xf>
    <xf numFmtId="192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25" fillId="0" borderId="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194" fontId="25" fillId="3" borderId="5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25" fillId="3" borderId="3" xfId="0" applyFont="1" applyFill="1" applyBorder="1" applyProtection="1">
      <protection locked="0"/>
    </xf>
    <xf numFmtId="0" fontId="25" fillId="2" borderId="5" xfId="0" applyFont="1" applyFill="1" applyBorder="1" applyAlignment="1" applyProtection="1">
      <alignment horizontal="center"/>
      <protection locked="0"/>
    </xf>
    <xf numFmtId="2" fontId="25" fillId="2" borderId="5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201" fontId="25" fillId="3" borderId="5" xfId="0" applyNumberFormat="1" applyFont="1" applyFill="1" applyBorder="1" applyAlignment="1" applyProtection="1">
      <alignment horizontal="center" vertical="center"/>
      <protection hidden="1"/>
    </xf>
    <xf numFmtId="1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Protection="1"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center"/>
      <protection hidden="1"/>
    </xf>
    <xf numFmtId="196" fontId="25" fillId="3" borderId="5" xfId="3" applyNumberFormat="1" applyFont="1" applyFill="1" applyBorder="1" applyAlignment="1" applyProtection="1">
      <alignment horizontal="center" vertical="center"/>
      <protection hidden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189" fontId="25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27" fillId="0" borderId="2" xfId="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vertical="center"/>
      <protection hidden="1"/>
    </xf>
    <xf numFmtId="0" fontId="25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wrapText="1"/>
      <protection locked="0"/>
    </xf>
    <xf numFmtId="199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7" xfId="0" applyFont="1" applyBorder="1" applyProtection="1">
      <protection hidden="1"/>
    </xf>
    <xf numFmtId="0" fontId="25" fillId="0" borderId="7" xfId="0" applyFont="1" applyBorder="1" applyProtection="1">
      <protection hidden="1"/>
    </xf>
    <xf numFmtId="0" fontId="25" fillId="0" borderId="8" xfId="0" applyFont="1" applyBorder="1" applyProtection="1">
      <protection hidden="1"/>
    </xf>
    <xf numFmtId="0" fontId="25" fillId="0" borderId="0" xfId="0" applyFont="1" applyFill="1" applyBorder="1" applyAlignment="1" applyProtection="1">
      <alignment wrapText="1"/>
      <protection hidden="1"/>
    </xf>
    <xf numFmtId="198" fontId="25" fillId="0" borderId="0" xfId="0" applyNumberFormat="1" applyFont="1" applyBorder="1" applyAlignment="1" applyProtection="1">
      <alignment horizontal="center" vertical="top" wrapText="1"/>
      <protection hidden="1"/>
    </xf>
    <xf numFmtId="0" fontId="25" fillId="0" borderId="0" xfId="0" applyFont="1" applyAlignment="1" applyProtection="1">
      <alignment vertical="top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5" fillId="0" borderId="3" xfId="0" applyFont="1" applyBorder="1" applyAlignment="1" applyProtection="1">
      <alignment vertical="top"/>
      <protection hidden="1"/>
    </xf>
    <xf numFmtId="2" fontId="0" fillId="0" borderId="0" xfId="0" applyNumberFormat="1" applyProtection="1">
      <protection hidden="1"/>
    </xf>
    <xf numFmtId="0" fontId="24" fillId="4" borderId="5" xfId="0" applyFont="1" applyFill="1" applyBorder="1" applyAlignment="1" applyProtection="1">
      <alignment horizontal="center" vertical="center"/>
      <protection hidden="1"/>
    </xf>
    <xf numFmtId="0" fontId="24" fillId="4" borderId="5" xfId="0" applyFont="1" applyFill="1" applyBorder="1" applyAlignment="1" applyProtection="1">
      <alignment horizontal="center" vertical="center" wrapText="1"/>
      <protection hidden="1"/>
    </xf>
    <xf numFmtId="0" fontId="24" fillId="5" borderId="5" xfId="0" applyFont="1" applyFill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left" vertical="center"/>
      <protection hidden="1"/>
    </xf>
    <xf numFmtId="0" fontId="24" fillId="6" borderId="5" xfId="0" applyFont="1" applyFill="1" applyBorder="1" applyAlignment="1" applyProtection="1">
      <alignment horizontal="center" vertical="center"/>
      <protection hidden="1"/>
    </xf>
    <xf numFmtId="2" fontId="25" fillId="0" borderId="5" xfId="0" applyNumberFormat="1" applyFont="1" applyBorder="1" applyAlignment="1" applyProtection="1">
      <alignment horizontal="center" vertical="center"/>
      <protection hidden="1"/>
    </xf>
    <xf numFmtId="2" fontId="24" fillId="7" borderId="5" xfId="0" applyNumberFormat="1" applyFont="1" applyFill="1" applyBorder="1" applyAlignment="1" applyProtection="1">
      <alignment horizontal="center" vertical="center"/>
      <protection hidden="1"/>
    </xf>
    <xf numFmtId="0" fontId="24" fillId="7" borderId="5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5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5" fillId="0" borderId="9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193" fontId="26" fillId="0" borderId="0" xfId="2" applyNumberFormat="1" applyFont="1" applyBorder="1" applyAlignment="1" applyProtection="1">
      <alignment horizontal="center" vertical="center" wrapText="1"/>
      <protection hidden="1"/>
    </xf>
    <xf numFmtId="193" fontId="26" fillId="0" borderId="3" xfId="2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4" fillId="0" borderId="9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49" fontId="23" fillId="2" borderId="0" xfId="0" applyNumberFormat="1" applyFont="1" applyFill="1" applyAlignment="1" applyProtection="1">
      <alignment horizontal="center" vertical="center"/>
      <protection locked="0"/>
    </xf>
    <xf numFmtId="49" fontId="23" fillId="2" borderId="0" xfId="0" applyNumberFormat="1" applyFont="1" applyFill="1" applyAlignment="1" applyProtection="1">
      <alignment vertical="center"/>
      <protection locked="0"/>
    </xf>
    <xf numFmtId="49" fontId="23" fillId="2" borderId="0" xfId="0" applyNumberFormat="1" applyFont="1" applyFill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/>
      <protection hidden="1"/>
    </xf>
    <xf numFmtId="0" fontId="18" fillId="0" borderId="0" xfId="0" applyFont="1" applyAlignment="1" applyProtection="1">
      <alignment horizontal="justify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30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justify" justifyLastLine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31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25" fillId="3" borderId="5" xfId="0" applyFont="1" applyFill="1" applyBorder="1" applyAlignment="1" applyProtection="1">
      <alignment horizontal="center" vertical="center"/>
      <protection hidden="1"/>
    </xf>
    <xf numFmtId="0" fontId="25" fillId="2" borderId="5" xfId="0" applyFont="1" applyFill="1" applyBorder="1" applyAlignment="1" applyProtection="1">
      <alignment vertical="center"/>
      <protection locked="0"/>
    </xf>
    <xf numFmtId="0" fontId="24" fillId="2" borderId="5" xfId="0" applyFont="1" applyFill="1" applyBorder="1" applyAlignment="1" applyProtection="1">
      <alignment vertical="center"/>
      <protection locked="0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0" fontId="31" fillId="0" borderId="0" xfId="0" applyFont="1" applyProtection="1">
      <protection locked="0"/>
    </xf>
    <xf numFmtId="0" fontId="24" fillId="8" borderId="5" xfId="0" applyFont="1" applyFill="1" applyBorder="1" applyAlignment="1" applyProtection="1">
      <alignment horizontal="center" vertical="center" wrapText="1"/>
      <protection hidden="1"/>
    </xf>
    <xf numFmtId="188" fontId="25" fillId="3" borderId="5" xfId="0" applyNumberFormat="1" applyFont="1" applyFill="1" applyBorder="1" applyAlignment="1" applyProtection="1">
      <alignment horizontal="center" vertical="center"/>
      <protection hidden="1"/>
    </xf>
    <xf numFmtId="202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0" fontId="25" fillId="0" borderId="5" xfId="0" applyFont="1" applyBorder="1" applyAlignment="1" applyProtection="1">
      <alignment horizontal="center" vertical="top" wrapText="1"/>
      <protection hidden="1"/>
    </xf>
    <xf numFmtId="0" fontId="26" fillId="0" borderId="2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vertical="center" wrapText="1"/>
      <protection hidden="1"/>
    </xf>
    <xf numFmtId="0" fontId="25" fillId="0" borderId="3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3" xfId="0" applyFont="1" applyBorder="1" applyAlignment="1" applyProtection="1">
      <alignment vertical="center" wrapText="1"/>
      <protection hidden="1"/>
    </xf>
    <xf numFmtId="0" fontId="26" fillId="0" borderId="3" xfId="0" applyFont="1" applyBorder="1" applyAlignment="1" applyProtection="1">
      <alignment horizontal="center" vertical="center" wrapText="1"/>
      <protection hidden="1"/>
    </xf>
    <xf numFmtId="193" fontId="26" fillId="0" borderId="3" xfId="2" applyNumberFormat="1" applyFont="1" applyBorder="1" applyAlignment="1" applyProtection="1">
      <alignment vertical="center" wrapText="1"/>
      <protection hidden="1"/>
    </xf>
    <xf numFmtId="195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4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7" fillId="0" borderId="2" xfId="0" applyFont="1" applyFill="1" applyBorder="1" applyAlignment="1" applyProtection="1">
      <alignment horizontal="center" vertical="center" wrapText="1"/>
      <protection hidden="1"/>
    </xf>
    <xf numFmtId="2" fontId="25" fillId="0" borderId="0" xfId="0" applyNumberFormat="1" applyFont="1" applyProtection="1">
      <protection hidden="1"/>
    </xf>
    <xf numFmtId="0" fontId="3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distributed" vertical="distributed" justifyLastLine="1"/>
      <protection hidden="1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/>
      <protection locked="0"/>
    </xf>
    <xf numFmtId="0" fontId="30" fillId="2" borderId="5" xfId="0" applyFont="1" applyFill="1" applyBorder="1" applyAlignment="1" applyProtection="1">
      <alignment horizontal="left" vertical="top" wrapText="1"/>
      <protection locked="0"/>
    </xf>
    <xf numFmtId="0" fontId="30" fillId="2" borderId="5" xfId="0" applyFont="1" applyFill="1" applyBorder="1" applyAlignment="1" applyProtection="1">
      <alignment horizontal="center" vertical="top" wrapText="1"/>
      <protection locked="0"/>
    </xf>
    <xf numFmtId="0" fontId="31" fillId="0" borderId="5" xfId="0" applyFont="1" applyBorder="1" applyAlignment="1" applyProtection="1">
      <alignment horizontal="left" vertical="top" wrapText="1"/>
      <protection locked="0"/>
    </xf>
    <xf numFmtId="0" fontId="31" fillId="0" borderId="10" xfId="0" applyFont="1" applyFill="1" applyBorder="1" applyAlignment="1" applyProtection="1">
      <alignment horizontal="left" vertical="top"/>
      <protection locked="0"/>
    </xf>
    <xf numFmtId="0" fontId="31" fillId="0" borderId="11" xfId="0" applyFont="1" applyFill="1" applyBorder="1" applyAlignment="1" applyProtection="1">
      <alignment horizontal="left" vertical="top"/>
      <protection locked="0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left" vertical="top"/>
      <protection locked="0"/>
    </xf>
    <xf numFmtId="0" fontId="32" fillId="0" borderId="0" xfId="0" applyFont="1" applyAlignment="1" applyProtection="1">
      <alignment horizontal="left" vertical="top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189" fontId="25" fillId="0" borderId="14" xfId="0" applyNumberFormat="1" applyFont="1" applyBorder="1" applyAlignment="1" applyProtection="1">
      <alignment horizontal="center" vertical="center" wrapText="1"/>
      <protection hidden="1"/>
    </xf>
    <xf numFmtId="0" fontId="25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25" fillId="2" borderId="9" xfId="0" applyFont="1" applyFill="1" applyBorder="1" applyAlignment="1" applyProtection="1">
      <alignment vertical="top" wrapText="1"/>
      <protection locked="0"/>
    </xf>
    <xf numFmtId="0" fontId="25" fillId="2" borderId="9" xfId="0" applyFont="1" applyFill="1" applyBorder="1" applyAlignment="1" applyProtection="1">
      <alignment wrapText="1"/>
      <protection locked="0"/>
    </xf>
    <xf numFmtId="0" fontId="24" fillId="2" borderId="9" xfId="0" applyFont="1" applyFill="1" applyBorder="1" applyAlignment="1" applyProtection="1">
      <alignment vertical="center" wrapText="1"/>
      <protection locked="0"/>
    </xf>
    <xf numFmtId="2" fontId="24" fillId="0" borderId="5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5" fillId="0" borderId="6" xfId="0" applyFont="1" applyBorder="1" applyProtection="1">
      <protection hidden="1"/>
    </xf>
    <xf numFmtId="0" fontId="25" fillId="0" borderId="2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201" fontId="25" fillId="2" borderId="5" xfId="0" applyNumberFormat="1" applyFont="1" applyFill="1" applyBorder="1" applyAlignment="1" applyProtection="1">
      <alignment horizontal="center" vertical="center"/>
      <protection locked="0"/>
    </xf>
    <xf numFmtId="196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8" borderId="5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25" fillId="0" borderId="3" xfId="0" applyFont="1" applyBorder="1" applyAlignment="1" applyProtection="1">
      <alignment horizontal="left" vertical="top" wrapText="1"/>
      <protection hidden="1"/>
    </xf>
    <xf numFmtId="0" fontId="25" fillId="3" borderId="5" xfId="0" applyFont="1" applyFill="1" applyBorder="1" applyAlignment="1" applyProtection="1">
      <alignment horizontal="center" vertical="center" wrapText="1"/>
      <protection hidden="1"/>
    </xf>
    <xf numFmtId="200" fontId="25" fillId="3" borderId="5" xfId="0" applyNumberFormat="1" applyFont="1" applyFill="1" applyBorder="1" applyAlignment="1" applyProtection="1">
      <alignment horizontal="center" vertical="center"/>
      <protection hidden="1"/>
    </xf>
    <xf numFmtId="0" fontId="24" fillId="0" borderId="1" xfId="0" applyFont="1" applyBorder="1" applyAlignment="1" applyProtection="1">
      <alignment horizontal="center" vertical="center" wrapText="1"/>
      <protection hidden="1"/>
    </xf>
    <xf numFmtId="0" fontId="25" fillId="7" borderId="5" xfId="0" applyFont="1" applyFill="1" applyBorder="1" applyAlignment="1" applyProtection="1">
      <alignment horizontal="center"/>
      <protection locked="0"/>
    </xf>
    <xf numFmtId="0" fontId="25" fillId="2" borderId="5" xfId="0" applyFont="1" applyFill="1" applyBorder="1" applyAlignment="1" applyProtection="1">
      <alignment horizontal="left" vertical="top" wrapText="1"/>
      <protection locked="0"/>
    </xf>
    <xf numFmtId="0" fontId="33" fillId="0" borderId="0" xfId="1" applyFont="1" applyAlignment="1" applyProtection="1">
      <alignment vertical="center"/>
      <protection hidden="1"/>
    </xf>
    <xf numFmtId="0" fontId="33" fillId="0" borderId="0" xfId="1" applyFont="1" applyProtection="1">
      <protection hidden="1"/>
    </xf>
    <xf numFmtId="0" fontId="33" fillId="0" borderId="0" xfId="1" applyFont="1" applyAlignment="1" applyProtection="1">
      <alignment vertical="top"/>
      <protection hidden="1"/>
    </xf>
    <xf numFmtId="43" fontId="24" fillId="0" borderId="5" xfId="2" applyNumberFormat="1" applyFont="1" applyBorder="1" applyAlignment="1" applyProtection="1">
      <alignment horizontal="center" vertical="center"/>
      <protection locked="0" hidden="1"/>
    </xf>
    <xf numFmtId="2" fontId="24" fillId="7" borderId="6" xfId="2" applyNumberFormat="1" applyFont="1" applyFill="1" applyBorder="1" applyAlignment="1" applyProtection="1">
      <alignment horizontal="center" vertical="center"/>
      <protection locked="0" hidden="1"/>
    </xf>
    <xf numFmtId="2" fontId="24" fillId="7" borderId="16" xfId="2" applyNumberFormat="1" applyFont="1" applyFill="1" applyBorder="1" applyAlignment="1" applyProtection="1">
      <alignment horizontal="center" vertical="center"/>
      <protection locked="0" hidden="1"/>
    </xf>
    <xf numFmtId="2" fontId="24" fillId="7" borderId="5" xfId="2" applyNumberFormat="1" applyFont="1" applyFill="1" applyBorder="1" applyAlignment="1" applyProtection="1">
      <alignment horizontal="center" vertical="center"/>
      <protection locked="0" hidden="1"/>
    </xf>
    <xf numFmtId="2" fontId="24" fillId="3" borderId="9" xfId="2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25" fillId="0" borderId="3" xfId="0" applyFont="1" applyBorder="1" applyAlignment="1" applyProtection="1">
      <alignment horizontal="left" vertical="top" wrapText="1"/>
      <protection hidden="1"/>
    </xf>
    <xf numFmtId="2" fontId="25" fillId="0" borderId="5" xfId="0" applyNumberFormat="1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25" fillId="0" borderId="4" xfId="0" applyFont="1" applyFill="1" applyBorder="1" applyProtection="1">
      <protection locked="0"/>
    </xf>
    <xf numFmtId="0" fontId="25" fillId="0" borderId="2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Protection="1">
      <protection locked="0"/>
    </xf>
    <xf numFmtId="205" fontId="34" fillId="0" borderId="18" xfId="2" applyNumberFormat="1" applyFont="1" applyBorder="1" applyAlignment="1" applyProtection="1">
      <alignment horizontal="center" vertical="center"/>
      <protection locked="0" hidden="1"/>
    </xf>
    <xf numFmtId="0" fontId="34" fillId="0" borderId="18" xfId="2" applyNumberFormat="1" applyFont="1" applyBorder="1" applyAlignment="1" applyProtection="1">
      <alignment horizontal="center" vertical="center"/>
      <protection locked="0" hidden="1"/>
    </xf>
    <xf numFmtId="0" fontId="25" fillId="0" borderId="9" xfId="0" applyFont="1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0" fontId="25" fillId="0" borderId="4" xfId="0" applyFont="1" applyBorder="1" applyAlignment="1" applyProtection="1">
      <alignment vertical="center"/>
      <protection hidden="1"/>
    </xf>
    <xf numFmtId="0" fontId="25" fillId="2" borderId="2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3" xfId="0" applyFont="1" applyFill="1" applyBorder="1" applyAlignment="1" applyProtection="1">
      <alignment horizontal="left" vertical="top" wrapText="1"/>
      <protection locked="0"/>
    </xf>
    <xf numFmtId="0" fontId="25" fillId="0" borderId="5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 vertical="top" wrapText="1" justifyLastLine="1" readingOrder="1"/>
      <protection hidden="1"/>
    </xf>
    <xf numFmtId="0" fontId="15" fillId="0" borderId="0" xfId="0" applyFont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30" fillId="0" borderId="0" xfId="0" applyFont="1" applyAlignment="1" applyProtection="1">
      <alignment horizontal="left" vertical="top" wrapText="1" readingOrder="1"/>
      <protection hidden="1"/>
    </xf>
    <xf numFmtId="0" fontId="15" fillId="0" borderId="0" xfId="0" applyFont="1" applyAlignment="1" applyProtection="1">
      <alignment horizontal="left" vertical="distributed" justifyLastLine="1"/>
      <protection hidden="1"/>
    </xf>
    <xf numFmtId="0" fontId="25" fillId="2" borderId="5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Alignment="1" applyProtection="1">
      <alignment horizontal="left" vertical="top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4" fillId="8" borderId="5" xfId="0" applyFont="1" applyFill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left" vertical="top" wrapText="1"/>
      <protection hidden="1"/>
    </xf>
    <xf numFmtId="0" fontId="25" fillId="3" borderId="5" xfId="0" applyFont="1" applyFill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/>
      <protection hidden="1"/>
    </xf>
    <xf numFmtId="0" fontId="24" fillId="0" borderId="2" xfId="0" applyFont="1" applyBorder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5" xfId="0" applyFont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194" fontId="25" fillId="3" borderId="5" xfId="0" applyNumberFormat="1" applyFont="1" applyFill="1" applyBorder="1" applyAlignment="1" applyProtection="1">
      <alignment horizontal="center" vertical="center"/>
      <protection hidden="1"/>
    </xf>
    <xf numFmtId="192" fontId="25" fillId="2" borderId="5" xfId="0" applyNumberFormat="1" applyFont="1" applyFill="1" applyBorder="1" applyAlignment="1" applyProtection="1">
      <alignment horizontal="center" vertical="center"/>
      <protection locked="0"/>
    </xf>
    <xf numFmtId="2" fontId="24" fillId="3" borderId="5" xfId="2" applyNumberFormat="1" applyFont="1" applyFill="1" applyBorder="1" applyAlignment="1" applyProtection="1">
      <alignment horizontal="center" vertical="center"/>
      <protection locked="0" hidden="1"/>
    </xf>
    <xf numFmtId="0" fontId="24" fillId="0" borderId="5" xfId="0" applyFont="1" applyBorder="1" applyAlignment="1" applyProtection="1">
      <alignment horizontal="center" vertical="center"/>
      <protection hidden="1"/>
    </xf>
    <xf numFmtId="2" fontId="25" fillId="0" borderId="5" xfId="0" applyNumberFormat="1" applyFont="1" applyFill="1" applyBorder="1" applyAlignment="1" applyProtection="1">
      <alignment horizontal="center" vertical="center"/>
      <protection hidden="1"/>
    </xf>
    <xf numFmtId="0" fontId="25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1" fillId="0" borderId="3" xfId="0" applyFont="1" applyBorder="1" applyAlignment="1" applyProtection="1">
      <alignment vertical="center"/>
      <protection hidden="1"/>
    </xf>
    <xf numFmtId="0" fontId="25" fillId="0" borderId="3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6" fillId="0" borderId="7" xfId="0" applyFont="1" applyBorder="1" applyAlignment="1" applyProtection="1">
      <alignment horizontal="left" vertical="center" wrapText="1"/>
      <protection hidden="1"/>
    </xf>
    <xf numFmtId="0" fontId="0" fillId="0" borderId="3" xfId="0" applyBorder="1" applyProtection="1">
      <protection hidden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0" fillId="9" borderId="0" xfId="0" applyFill="1" applyProtection="1">
      <protection hidden="1"/>
    </xf>
    <xf numFmtId="0" fontId="0" fillId="10" borderId="0" xfId="0" applyFill="1" applyProtection="1"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0" fillId="11" borderId="0" xfId="0" applyFill="1" applyProtection="1">
      <protection hidden="1"/>
    </xf>
    <xf numFmtId="0" fontId="25" fillId="12" borderId="5" xfId="0" applyFont="1" applyFill="1" applyBorder="1" applyAlignment="1" applyProtection="1">
      <alignment horizontal="center" vertical="center" wrapText="1"/>
      <protection hidden="1"/>
    </xf>
    <xf numFmtId="2" fontId="25" fillId="0" borderId="5" xfId="0" applyNumberFormat="1" applyFont="1" applyBorder="1" applyAlignment="1" applyProtection="1">
      <alignment horizont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2" fontId="25" fillId="0" borderId="0" xfId="0" applyNumberFormat="1" applyFont="1" applyFill="1" applyBorder="1" applyAlignment="1" applyProtection="1">
      <alignment vertical="center"/>
      <protection hidden="1"/>
    </xf>
    <xf numFmtId="198" fontId="25" fillId="0" borderId="20" xfId="0" applyNumberFormat="1" applyFont="1" applyBorder="1" applyAlignment="1" applyProtection="1">
      <alignment horizontal="center" vertical="top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0" xfId="1" applyFont="1" applyFill="1" applyAlignment="1" applyProtection="1">
      <alignment vertical="center"/>
      <protection hidden="1"/>
    </xf>
    <xf numFmtId="0" fontId="33" fillId="0" borderId="0" xfId="1" applyFont="1" applyFill="1" applyProtection="1">
      <protection hidden="1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Protection="1"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18" fillId="13" borderId="0" xfId="0" applyFont="1" applyFill="1" applyAlignment="1" applyProtection="1">
      <alignment vertical="center"/>
      <protection hidden="1"/>
    </xf>
    <xf numFmtId="207" fontId="25" fillId="0" borderId="5" xfId="0" applyNumberFormat="1" applyFont="1" applyBorder="1" applyAlignment="1" applyProtection="1">
      <alignment horizontal="center"/>
      <protection hidden="1"/>
    </xf>
    <xf numFmtId="0" fontId="35" fillId="0" borderId="0" xfId="0" applyFont="1" applyBorder="1" applyProtection="1"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31" fillId="0" borderId="0" xfId="0" applyFont="1" applyAlignment="1" applyProtection="1">
      <protection hidden="1"/>
    </xf>
    <xf numFmtId="0" fontId="24" fillId="14" borderId="5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Protection="1">
      <protection hidden="1"/>
    </xf>
    <xf numFmtId="0" fontId="30" fillId="0" borderId="0" xfId="0" applyFont="1" applyAlignment="1" applyProtection="1">
      <alignment horizontal="left" vertical="top" wrapText="1"/>
      <protection locked="0" hidden="1"/>
    </xf>
    <xf numFmtId="0" fontId="30" fillId="0" borderId="0" xfId="0" applyFont="1" applyAlignment="1" applyProtection="1">
      <alignment vertical="top" wrapText="1"/>
      <protection locked="0" hidden="1"/>
    </xf>
    <xf numFmtId="0" fontId="0" fillId="0" borderId="0" xfId="0" applyProtection="1">
      <protection locked="0" hidden="1"/>
    </xf>
    <xf numFmtId="0" fontId="30" fillId="0" borderId="0" xfId="0" applyFont="1" applyAlignment="1" applyProtection="1">
      <alignment horizontal="center" vertical="center"/>
      <protection locked="0" hidden="1"/>
    </xf>
    <xf numFmtId="0" fontId="30" fillId="0" borderId="0" xfId="0" applyFont="1" applyFill="1" applyAlignment="1" applyProtection="1">
      <alignment horizontal="center" vertical="center"/>
      <protection locked="0" hidden="1"/>
    </xf>
    <xf numFmtId="0" fontId="23" fillId="0" borderId="0" xfId="0" applyFont="1" applyAlignment="1" applyProtection="1">
      <alignment horizontal="center" vertical="top"/>
      <protection locked="0" hidden="1"/>
    </xf>
    <xf numFmtId="0" fontId="37" fillId="0" borderId="0" xfId="0" applyNumberFormat="1" applyFont="1" applyAlignment="1" applyProtection="1">
      <alignment horizontal="left" vertical="top" wrapText="1"/>
      <protection locked="0" hidden="1"/>
    </xf>
    <xf numFmtId="0" fontId="37" fillId="0" borderId="0" xfId="0" applyNumberFormat="1" applyFont="1" applyAlignment="1" applyProtection="1">
      <alignment horizontal="justify" vertical="top" wrapText="1"/>
      <protection locked="0" hidden="1"/>
    </xf>
    <xf numFmtId="0" fontId="18" fillId="0" borderId="0" xfId="0" applyFont="1" applyProtection="1">
      <protection locked="0" hidden="1"/>
    </xf>
    <xf numFmtId="0" fontId="18" fillId="0" borderId="0" xfId="0" applyFont="1" applyAlignment="1" applyProtection="1">
      <alignment vertical="center"/>
      <protection locked="0" hidden="1"/>
    </xf>
    <xf numFmtId="0" fontId="0" fillId="0" borderId="0" xfId="0" applyNumberFormat="1" applyFill="1" applyAlignment="1" applyProtection="1">
      <alignment horizontal="left" vertical="top" wrapText="1"/>
      <protection locked="0" hidden="1"/>
    </xf>
    <xf numFmtId="0" fontId="0" fillId="0" borderId="0" xfId="0" applyFill="1" applyAlignment="1" applyProtection="1">
      <alignment horizontal="left" vertical="top" wrapText="1"/>
      <protection locked="0" hidden="1"/>
    </xf>
    <xf numFmtId="0" fontId="0" fillId="0" borderId="0" xfId="0" applyAlignment="1" applyProtection="1">
      <alignment horizontal="left" vertical="top"/>
      <protection locked="0" hidden="1"/>
    </xf>
    <xf numFmtId="0" fontId="18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33" fillId="0" borderId="0" xfId="1" applyFont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33" fillId="0" borderId="0" xfId="1" applyFont="1" applyProtection="1">
      <protection locked="0"/>
    </xf>
    <xf numFmtId="0" fontId="37" fillId="0" borderId="0" xfId="0" applyFont="1" applyAlignment="1" applyProtection="1">
      <alignment horizontal="justify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2" borderId="0" xfId="0" applyFont="1" applyFill="1" applyProtection="1"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4" fillId="8" borderId="5" xfId="0" applyFont="1" applyFill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5" fillId="0" borderId="3" xfId="0" applyFont="1" applyBorder="1" applyProtection="1">
      <protection locked="0"/>
    </xf>
    <xf numFmtId="0" fontId="25" fillId="2" borderId="5" xfId="0" applyFont="1" applyFill="1" applyBorder="1" applyAlignment="1" applyProtection="1">
      <alignment horizontal="left" vertical="center" wrapText="1"/>
      <protection locked="0"/>
    </xf>
    <xf numFmtId="2" fontId="25" fillId="2" borderId="9" xfId="0" applyNumberFormat="1" applyFont="1" applyFill="1" applyBorder="1" applyAlignment="1" applyProtection="1">
      <alignment horizontal="center" vertical="center"/>
      <protection locked="0"/>
    </xf>
    <xf numFmtId="2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vertical="center"/>
      <protection locked="0"/>
    </xf>
    <xf numFmtId="0" fontId="25" fillId="9" borderId="21" xfId="0" applyFont="1" applyFill="1" applyBorder="1" applyAlignment="1" applyProtection="1">
      <alignment horizontal="center" vertical="center"/>
      <protection locked="0"/>
    </xf>
    <xf numFmtId="0" fontId="25" fillId="14" borderId="0" xfId="0" applyFont="1" applyFill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25" fillId="10" borderId="23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15" borderId="23" xfId="0" applyFont="1" applyFill="1" applyBorder="1" applyAlignment="1" applyProtection="1">
      <alignment horizontal="center" vertical="center"/>
      <protection locked="0"/>
    </xf>
    <xf numFmtId="0" fontId="25" fillId="7" borderId="23" xfId="0" applyFont="1" applyFill="1" applyBorder="1" applyAlignment="1" applyProtection="1">
      <alignment horizontal="center" vertical="center"/>
      <protection locked="0"/>
    </xf>
    <xf numFmtId="0" fontId="25" fillId="9" borderId="23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2" fontId="25" fillId="16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9" fillId="0" borderId="0" xfId="0" applyFont="1" applyProtection="1">
      <protection locked="0" hidden="1"/>
    </xf>
    <xf numFmtId="0" fontId="31" fillId="0" borderId="0" xfId="0" applyFont="1" applyBorder="1" applyProtection="1">
      <protection locked="0" hidden="1"/>
    </xf>
    <xf numFmtId="0" fontId="18" fillId="0" borderId="0" xfId="0" applyFont="1" applyAlignment="1" applyProtection="1">
      <alignment vertical="top"/>
      <protection locked="0" hidden="1"/>
    </xf>
    <xf numFmtId="0" fontId="40" fillId="0" borderId="0" xfId="1" applyFont="1" applyAlignment="1" applyProtection="1">
      <alignment vertical="center"/>
      <protection locked="0" hidden="1"/>
    </xf>
    <xf numFmtId="0" fontId="40" fillId="0" borderId="0" xfId="1" applyFont="1" applyProtection="1">
      <protection locked="0" hidden="1"/>
    </xf>
    <xf numFmtId="0" fontId="24" fillId="0" borderId="5" xfId="0" applyFont="1" applyBorder="1" applyAlignment="1" applyProtection="1">
      <alignment horizontal="center" vertical="center"/>
      <protection locked="0" hidden="1"/>
    </xf>
    <xf numFmtId="0" fontId="40" fillId="0" borderId="0" xfId="1" applyFont="1" applyAlignment="1" applyProtection="1">
      <alignment vertical="top"/>
      <protection locked="0" hidden="1"/>
    </xf>
    <xf numFmtId="0" fontId="24" fillId="0" borderId="5" xfId="0" applyFont="1" applyBorder="1" applyAlignment="1" applyProtection="1">
      <alignment horizontal="left" vertical="top" wrapText="1"/>
      <protection locked="0" hidden="1"/>
    </xf>
    <xf numFmtId="0" fontId="39" fillId="0" borderId="0" xfId="0" applyFont="1" applyAlignment="1" applyProtection="1">
      <protection locked="0" hidden="1"/>
    </xf>
    <xf numFmtId="0" fontId="0" fillId="0" borderId="0" xfId="0" applyAlignment="1" applyProtection="1">
      <protection locked="0" hidden="1"/>
    </xf>
    <xf numFmtId="0" fontId="31" fillId="0" borderId="0" xfId="0" applyFont="1" applyBorder="1" applyAlignment="1" applyProtection="1">
      <protection locked="0" hidden="1"/>
    </xf>
    <xf numFmtId="0" fontId="31" fillId="0" borderId="5" xfId="0" applyFont="1" applyBorder="1" applyAlignment="1" applyProtection="1">
      <alignment horizontal="center"/>
      <protection locked="0" hidden="1"/>
    </xf>
    <xf numFmtId="0" fontId="25" fillId="0" borderId="5" xfId="0" applyFont="1" applyBorder="1" applyAlignment="1" applyProtection="1">
      <alignment horizontal="center" vertical="top" wrapText="1"/>
      <protection locked="0" hidden="1"/>
    </xf>
    <xf numFmtId="2" fontId="39" fillId="0" borderId="0" xfId="0" applyNumberFormat="1" applyFont="1" applyProtection="1">
      <protection locked="0" hidden="1"/>
    </xf>
    <xf numFmtId="2" fontId="25" fillId="0" borderId="5" xfId="0" applyNumberFormat="1" applyFont="1" applyBorder="1" applyAlignment="1" applyProtection="1">
      <alignment horizontal="center" vertical="top" wrapText="1"/>
      <protection locked="0" hidden="1"/>
    </xf>
    <xf numFmtId="0" fontId="25" fillId="0" borderId="5" xfId="0" applyFont="1" applyFill="1" applyBorder="1" applyAlignment="1" applyProtection="1">
      <alignment horizontal="center" vertical="center" wrapText="1"/>
      <protection locked="0" hidden="1"/>
    </xf>
    <xf numFmtId="0" fontId="31" fillId="0" borderId="0" xfId="0" applyFont="1" applyBorder="1" applyAlignment="1" applyProtection="1">
      <alignment vertical="top"/>
      <protection locked="0" hidden="1"/>
    </xf>
    <xf numFmtId="0" fontId="25" fillId="0" borderId="5" xfId="0" applyFont="1" applyBorder="1" applyAlignment="1" applyProtection="1">
      <alignment horizontal="center" vertical="center" wrapText="1"/>
      <protection locked="0" hidden="1"/>
    </xf>
    <xf numFmtId="0" fontId="24" fillId="7" borderId="18" xfId="0" applyFont="1" applyFill="1" applyBorder="1" applyAlignment="1" applyProtection="1">
      <alignment horizontal="center" vertical="center" wrapText="1"/>
      <protection locked="0" hidden="1"/>
    </xf>
    <xf numFmtId="0" fontId="25" fillId="0" borderId="5" xfId="0" applyFont="1" applyBorder="1" applyProtection="1">
      <protection locked="0" hidden="1"/>
    </xf>
    <xf numFmtId="202" fontId="25" fillId="0" borderId="5" xfId="0" applyNumberFormat="1" applyFont="1" applyBorder="1" applyAlignment="1" applyProtection="1">
      <alignment horizontal="center" vertical="center"/>
      <protection locked="0" hidden="1"/>
    </xf>
    <xf numFmtId="0" fontId="24" fillId="17" borderId="5" xfId="0" applyFont="1" applyFill="1" applyBorder="1" applyAlignment="1" applyProtection="1">
      <alignment horizontal="center" vertical="center"/>
      <protection locked="0" hidden="1"/>
    </xf>
    <xf numFmtId="0" fontId="24" fillId="7" borderId="5" xfId="0" applyFont="1" applyFill="1" applyBorder="1" applyAlignment="1" applyProtection="1">
      <alignment horizontal="center" vertical="center" wrapText="1"/>
      <protection locked="0" hidden="1"/>
    </xf>
    <xf numFmtId="197" fontId="25" fillId="0" borderId="5" xfId="0" applyNumberFormat="1" applyFont="1" applyBorder="1" applyAlignment="1" applyProtection="1">
      <alignment horizontal="center" vertical="center"/>
      <protection locked="0" hidden="1"/>
    </xf>
    <xf numFmtId="202" fontId="25" fillId="17" borderId="9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5" xfId="0" applyFont="1" applyFill="1" applyBorder="1" applyAlignment="1" applyProtection="1">
      <alignment horizontal="center" vertical="center"/>
      <protection locked="0" hidden="1"/>
    </xf>
    <xf numFmtId="0" fontId="10" fillId="0" borderId="5" xfId="0" applyFont="1" applyBorder="1" applyAlignment="1" applyProtection="1">
      <alignment horizontal="center" vertical="center" wrapText="1"/>
      <protection locked="0" hidden="1"/>
    </xf>
    <xf numFmtId="0" fontId="10" fillId="0" borderId="5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Border="1" applyAlignment="1" applyProtection="1">
      <alignment vertical="top"/>
      <protection locked="0" hidden="1"/>
    </xf>
    <xf numFmtId="2" fontId="10" fillId="0" borderId="5" xfId="0" applyNumberFormat="1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Border="1" applyAlignment="1" applyProtection="1">
      <alignment vertical="top"/>
      <protection locked="0" hidden="1"/>
    </xf>
    <xf numFmtId="0" fontId="25" fillId="0" borderId="5" xfId="0" applyFont="1" applyBorder="1" applyAlignment="1" applyProtection="1">
      <alignment wrapText="1"/>
      <protection locked="0" hidden="1"/>
    </xf>
    <xf numFmtId="0" fontId="25" fillId="0" borderId="19" xfId="0" applyFont="1" applyBorder="1" applyAlignment="1" applyProtection="1">
      <alignment wrapText="1"/>
      <protection locked="0" hidden="1"/>
    </xf>
    <xf numFmtId="0" fontId="24" fillId="17" borderId="9" xfId="0" applyFont="1" applyFill="1" applyBorder="1" applyAlignment="1" applyProtection="1">
      <alignment horizontal="center" vertical="center"/>
      <protection locked="0" hidden="1"/>
    </xf>
    <xf numFmtId="198" fontId="31" fillId="0" borderId="5" xfId="0" applyNumberFormat="1" applyFont="1" applyBorder="1" applyAlignment="1" applyProtection="1">
      <alignment horizontal="center" vertical="center"/>
      <protection locked="0" hidden="1"/>
    </xf>
    <xf numFmtId="0" fontId="34" fillId="0" borderId="0" xfId="0" applyFont="1" applyAlignment="1" applyProtection="1">
      <alignment horizontal="right" vertical="center"/>
      <protection locked="0" hidden="1"/>
    </xf>
    <xf numFmtId="0" fontId="34" fillId="0" borderId="0" xfId="0" applyFont="1" applyFill="1" applyBorder="1" applyAlignment="1" applyProtection="1">
      <alignment horizontal="right" vertical="center"/>
      <protection locked="0" hidden="1"/>
    </xf>
    <xf numFmtId="0" fontId="23" fillId="0" borderId="24" xfId="0" applyFont="1" applyBorder="1" applyAlignment="1" applyProtection="1">
      <alignment horizontal="center"/>
      <protection locked="0" hidden="1"/>
    </xf>
    <xf numFmtId="2" fontId="0" fillId="0" borderId="0" xfId="0" applyNumberFormat="1" applyProtection="1">
      <protection locked="0" hidden="1"/>
    </xf>
    <xf numFmtId="2" fontId="31" fillId="0" borderId="0" xfId="0" applyNumberFormat="1" applyFont="1" applyBorder="1" applyProtection="1">
      <protection locked="0" hidden="1"/>
    </xf>
    <xf numFmtId="0" fontId="23" fillId="0" borderId="0" xfId="0" applyFont="1" applyFill="1" applyAlignment="1" applyProtection="1">
      <alignment horizontal="center"/>
      <protection locked="0" hidden="1"/>
    </xf>
    <xf numFmtId="0" fontId="24" fillId="0" borderId="0" xfId="0" applyFont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24" fillId="15" borderId="0" xfId="0" applyFont="1" applyFill="1" applyBorder="1" applyAlignment="1" applyProtection="1">
      <alignment horizontal="center"/>
      <protection locked="0" hidden="1"/>
    </xf>
    <xf numFmtId="0" fontId="18" fillId="0" borderId="0" xfId="0" applyFont="1" applyFill="1" applyProtection="1"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0" fillId="0" borderId="0" xfId="0" applyFill="1" applyBorder="1" applyAlignment="1" applyProtection="1">
      <alignment horizontal="left" vertical="center"/>
      <protection locked="0" hidden="1"/>
    </xf>
    <xf numFmtId="0" fontId="24" fillId="7" borderId="0" xfId="0" applyFont="1" applyFill="1" applyBorder="1" applyAlignment="1" applyProtection="1">
      <alignment horizontal="left" vertical="top"/>
      <protection locked="0" hidden="1"/>
    </xf>
    <xf numFmtId="0" fontId="41" fillId="0" borderId="0" xfId="1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vertical="center"/>
      <protection locked="0" hidden="1"/>
    </xf>
    <xf numFmtId="0" fontId="18" fillId="18" borderId="0" xfId="0" applyFont="1" applyFill="1" applyProtection="1">
      <protection locked="0" hidden="1"/>
    </xf>
    <xf numFmtId="0" fontId="0" fillId="18" borderId="0" xfId="0" applyFill="1" applyProtection="1">
      <protection locked="0" hidden="1"/>
    </xf>
    <xf numFmtId="0" fontId="0" fillId="18" borderId="0" xfId="0" applyFill="1" applyAlignment="1" applyProtection="1">
      <alignment horizontal="left"/>
      <protection locked="0" hidden="1"/>
    </xf>
    <xf numFmtId="0" fontId="0" fillId="0" borderId="6" xfId="0" applyFill="1" applyBorder="1" applyAlignment="1" applyProtection="1">
      <alignment horizontal="center"/>
      <protection locked="0" hidden="1"/>
    </xf>
    <xf numFmtId="0" fontId="0" fillId="7" borderId="5" xfId="0" applyFill="1" applyBorder="1" applyAlignment="1" applyProtection="1">
      <alignment horizontal="center" vertical="center"/>
      <protection locked="0" hidden="1"/>
    </xf>
    <xf numFmtId="0" fontId="0" fillId="7" borderId="5" xfId="0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41" fillId="0" borderId="0" xfId="1" applyFont="1" applyBorder="1" applyProtection="1">
      <protection locked="0" hidden="1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16" borderId="5" xfId="0" applyFill="1" applyBorder="1" applyAlignment="1" applyProtection="1">
      <alignment horizontal="center" vertical="center"/>
      <protection locked="0" hidden="1"/>
    </xf>
    <xf numFmtId="0" fontId="0" fillId="16" borderId="5" xfId="0" applyFill="1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0" fontId="0" fillId="0" borderId="0" xfId="0" applyFill="1" applyBorder="1" applyProtection="1">
      <protection locked="0" hidden="1"/>
    </xf>
    <xf numFmtId="0" fontId="0" fillId="18" borderId="3" xfId="0" applyFill="1" applyBorder="1" applyAlignment="1" applyProtection="1">
      <alignment horizontal="left"/>
      <protection locked="0" hidden="1"/>
    </xf>
    <xf numFmtId="0" fontId="24" fillId="7" borderId="0" xfId="0" applyFont="1" applyFill="1" applyBorder="1" applyProtection="1">
      <protection locked="0" hidden="1"/>
    </xf>
    <xf numFmtId="0" fontId="41" fillId="0" borderId="0" xfId="1" applyFont="1" applyBorder="1" applyAlignment="1" applyProtection="1">
      <alignment wrapText="1"/>
      <protection locked="0" hidden="1"/>
    </xf>
    <xf numFmtId="0" fontId="41" fillId="0" borderId="0" xfId="1" applyFont="1" applyBorder="1" applyAlignment="1" applyProtection="1">
      <protection locked="0" hidden="1"/>
    </xf>
    <xf numFmtId="0" fontId="41" fillId="0" borderId="0" xfId="1" applyFont="1" applyBorder="1" applyAlignment="1" applyProtection="1">
      <alignment vertical="top" wrapText="1"/>
      <protection locked="0" hidden="1"/>
    </xf>
    <xf numFmtId="0" fontId="0" fillId="0" borderId="0" xfId="0" quotePrefix="1" applyAlignment="1" applyProtection="1">
      <alignment horizontal="right"/>
      <protection locked="0" hidden="1"/>
    </xf>
    <xf numFmtId="0" fontId="24" fillId="7" borderId="0" xfId="0" applyFont="1" applyFill="1" applyBorder="1" applyAlignment="1" applyProtection="1">
      <alignment vertical="top" wrapText="1"/>
      <protection locked="0" hidden="1"/>
    </xf>
    <xf numFmtId="0" fontId="25" fillId="0" borderId="0" xfId="0" applyFont="1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16" borderId="5" xfId="0" applyFill="1" applyBorder="1" applyAlignment="1" applyProtection="1">
      <alignment horizontal="center" vertical="center"/>
      <protection locked="0" hidden="1"/>
    </xf>
    <xf numFmtId="0" fontId="42" fillId="18" borderId="0" xfId="0" applyFont="1" applyFill="1" applyProtection="1">
      <protection locked="0" hidden="1"/>
    </xf>
    <xf numFmtId="0" fontId="42" fillId="0" borderId="0" xfId="0" applyFont="1" applyFill="1" applyProtection="1">
      <protection locked="0" hidden="1"/>
    </xf>
    <xf numFmtId="0" fontId="25" fillId="7" borderId="5" xfId="0" applyFont="1" applyFill="1" applyBorder="1" applyAlignment="1" applyProtection="1">
      <alignment horizontal="left"/>
      <protection locked="0"/>
    </xf>
    <xf numFmtId="0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7" xfId="0" applyNumberFormat="1" applyFont="1" applyFill="1" applyBorder="1" applyProtection="1">
      <protection locked="0"/>
    </xf>
    <xf numFmtId="0" fontId="25" fillId="2" borderId="5" xfId="0" applyNumberFormat="1" applyFont="1" applyFill="1" applyBorder="1" applyProtection="1">
      <protection locked="0"/>
    </xf>
    <xf numFmtId="0" fontId="25" fillId="2" borderId="28" xfId="0" applyNumberFormat="1" applyFont="1" applyFill="1" applyBorder="1" applyProtection="1">
      <protection locked="0"/>
    </xf>
    <xf numFmtId="0" fontId="25" fillId="2" borderId="9" xfId="0" applyNumberFormat="1" applyFont="1" applyFill="1" applyBorder="1" applyProtection="1">
      <protection locked="0"/>
    </xf>
    <xf numFmtId="0" fontId="25" fillId="2" borderId="29" xfId="0" applyNumberFormat="1" applyFont="1" applyFill="1" applyBorder="1" applyProtection="1">
      <protection locked="0"/>
    </xf>
    <xf numFmtId="0" fontId="25" fillId="2" borderId="1" xfId="0" applyNumberFormat="1" applyFont="1" applyFill="1" applyBorder="1" applyProtection="1">
      <protection locked="0"/>
    </xf>
    <xf numFmtId="0" fontId="25" fillId="2" borderId="30" xfId="0" applyNumberFormat="1" applyFont="1" applyFill="1" applyBorder="1" applyProtection="1">
      <protection locked="0"/>
    </xf>
    <xf numFmtId="0" fontId="25" fillId="2" borderId="8" xfId="0" applyNumberFormat="1" applyFont="1" applyFill="1" applyBorder="1" applyProtection="1">
      <protection locked="0"/>
    </xf>
    <xf numFmtId="0" fontId="25" fillId="0" borderId="31" xfId="0" applyNumberFormat="1" applyFont="1" applyBorder="1" applyAlignment="1" applyProtection="1">
      <alignment horizontal="center"/>
      <protection hidden="1"/>
    </xf>
    <xf numFmtId="0" fontId="25" fillId="0" borderId="32" xfId="0" applyNumberFormat="1" applyFont="1" applyBorder="1" applyAlignment="1" applyProtection="1">
      <alignment horizontal="center"/>
      <protection hidden="1"/>
    </xf>
    <xf numFmtId="0" fontId="25" fillId="0" borderId="33" xfId="0" applyNumberFormat="1" applyFont="1" applyBorder="1" applyAlignment="1" applyProtection="1">
      <alignment horizontal="center"/>
      <protection hidden="1"/>
    </xf>
    <xf numFmtId="0" fontId="25" fillId="0" borderId="34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0" fillId="19" borderId="0" xfId="0" applyFill="1" applyAlignment="1" applyProtection="1">
      <alignment horizontal="right"/>
      <protection locked="0" hidden="1"/>
    </xf>
    <xf numFmtId="0" fontId="43" fillId="16" borderId="0" xfId="0" applyFont="1" applyFill="1" applyProtection="1">
      <protection locked="0" hidden="1"/>
    </xf>
    <xf numFmtId="187" fontId="25" fillId="0" borderId="0" xfId="0" applyNumberFormat="1" applyFo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27" fillId="0" borderId="2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16" borderId="5" xfId="0" applyFill="1" applyBorder="1" applyAlignment="1" applyProtection="1">
      <alignment vertical="center"/>
      <protection locked="0" hidden="1"/>
    </xf>
    <xf numFmtId="0" fontId="0" fillId="2" borderId="5" xfId="0" applyFill="1" applyBorder="1" applyAlignment="1" applyProtection="1">
      <alignment horizontal="left" vertical="top"/>
      <protection locked="0" hidden="1"/>
    </xf>
    <xf numFmtId="0" fontId="0" fillId="2" borderId="19" xfId="0" applyFill="1" applyBorder="1" applyAlignment="1" applyProtection="1">
      <alignment horizontal="left" vertical="top"/>
      <protection locked="0" hidden="1"/>
    </xf>
    <xf numFmtId="0" fontId="0" fillId="2" borderId="9" xfId="0" applyFill="1" applyBorder="1" applyAlignment="1" applyProtection="1">
      <alignment horizontal="left" vertical="top"/>
      <protection locked="0" hidden="1"/>
    </xf>
    <xf numFmtId="0" fontId="23" fillId="0" borderId="0" xfId="0" applyFont="1" applyAlignment="1" applyProtection="1">
      <alignment horizontal="center"/>
      <protection locked="0" hidden="1"/>
    </xf>
    <xf numFmtId="0" fontId="0" fillId="2" borderId="17" xfId="0" applyFill="1" applyBorder="1" applyAlignment="1" applyProtection="1">
      <alignment horizontal="left"/>
      <protection locked="0" hidden="1"/>
    </xf>
    <xf numFmtId="0" fontId="0" fillId="2" borderId="7" xfId="0" applyFill="1" applyBorder="1" applyAlignment="1" applyProtection="1">
      <alignment horizontal="left"/>
      <protection locked="0" hidden="1"/>
    </xf>
    <xf numFmtId="0" fontId="0" fillId="2" borderId="8" xfId="0" applyFill="1" applyBorder="1" applyAlignment="1" applyProtection="1">
      <alignment horizontal="left"/>
      <protection locked="0" hidden="1"/>
    </xf>
    <xf numFmtId="0" fontId="0" fillId="16" borderId="6" xfId="0" applyFill="1" applyBorder="1" applyAlignment="1" applyProtection="1">
      <alignment horizontal="center" vertical="center"/>
      <protection locked="0" hidden="1"/>
    </xf>
    <xf numFmtId="0" fontId="0" fillId="16" borderId="5" xfId="0" applyFill="1" applyBorder="1" applyAlignment="1" applyProtection="1">
      <alignment horizontal="center" vertical="center"/>
      <protection locked="0" hidden="1"/>
    </xf>
    <xf numFmtId="0" fontId="0" fillId="2" borderId="22" xfId="0" applyFill="1" applyBorder="1" applyAlignment="1" applyProtection="1">
      <alignment horizontal="left" vertical="top"/>
      <protection locked="0" hidden="1"/>
    </xf>
    <xf numFmtId="0" fontId="0" fillId="2" borderId="20" xfId="0" applyFill="1" applyBorder="1" applyAlignment="1" applyProtection="1">
      <alignment horizontal="left" vertical="top"/>
      <protection locked="0" hidden="1"/>
    </xf>
    <xf numFmtId="0" fontId="0" fillId="2" borderId="16" xfId="0" applyFill="1" applyBorder="1" applyAlignment="1" applyProtection="1">
      <alignment horizontal="left" vertical="top"/>
      <protection locked="0" hidden="1"/>
    </xf>
    <xf numFmtId="0" fontId="0" fillId="2" borderId="5" xfId="0" applyFill="1" applyBorder="1" applyAlignment="1" applyProtection="1">
      <alignment horizontal="left" vertical="center"/>
      <protection locked="0" hidden="1"/>
    </xf>
    <xf numFmtId="0" fontId="0" fillId="7" borderId="5" xfId="0" applyFill="1" applyBorder="1" applyAlignment="1" applyProtection="1">
      <alignment horizontal="center"/>
      <protection locked="0" hidden="1"/>
    </xf>
    <xf numFmtId="0" fontId="0" fillId="16" borderId="19" xfId="0" applyFill="1" applyBorder="1" applyAlignment="1" applyProtection="1">
      <alignment horizontal="center" vertical="center"/>
      <protection locked="0" hidden="1"/>
    </xf>
    <xf numFmtId="0" fontId="0" fillId="16" borderId="9" xfId="0" applyFill="1" applyBorder="1" applyAlignment="1" applyProtection="1">
      <alignment horizontal="center" vertical="center"/>
      <protection locked="0" hidden="1"/>
    </xf>
    <xf numFmtId="0" fontId="21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18" fillId="0" borderId="5" xfId="0" applyFont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 vertical="top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top" wrapText="1" justifyLastLine="1"/>
      <protection locked="0"/>
    </xf>
    <xf numFmtId="1" fontId="18" fillId="2" borderId="0" xfId="0" applyNumberFormat="1" applyFont="1" applyFill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left" vertical="top" wrapText="1"/>
      <protection hidden="1"/>
    </xf>
    <xf numFmtId="0" fontId="25" fillId="20" borderId="23" xfId="0" applyFont="1" applyFill="1" applyBorder="1" applyAlignment="1" applyProtection="1">
      <alignment horizontal="center" vertical="top" wrapText="1"/>
      <protection locked="0"/>
    </xf>
    <xf numFmtId="0" fontId="25" fillId="20" borderId="35" xfId="0" applyFont="1" applyFill="1" applyBorder="1" applyAlignment="1" applyProtection="1">
      <alignment horizontal="center" vertical="top" wrapText="1"/>
      <protection locked="0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9" xfId="0" applyFont="1" applyFill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24" fillId="8" borderId="19" xfId="0" applyFont="1" applyFill="1" applyBorder="1" applyAlignment="1" applyProtection="1">
      <alignment horizontal="center" vertical="center" wrapText="1"/>
      <protection locked="0"/>
    </xf>
    <xf numFmtId="0" fontId="24" fillId="8" borderId="9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left" vertical="top" wrapText="1"/>
      <protection locked="0" hidden="1"/>
    </xf>
    <xf numFmtId="0" fontId="25" fillId="20" borderId="36" xfId="0" applyFont="1" applyFill="1" applyBorder="1" applyAlignment="1" applyProtection="1">
      <alignment horizontal="center" vertical="top" wrapText="1"/>
      <protection locked="0"/>
    </xf>
    <xf numFmtId="0" fontId="25" fillId="2" borderId="37" xfId="0" applyFont="1" applyFill="1" applyBorder="1" applyAlignment="1" applyProtection="1">
      <alignment horizontal="left" vertical="top" wrapText="1"/>
      <protection locked="0"/>
    </xf>
    <xf numFmtId="0" fontId="25" fillId="2" borderId="38" xfId="0" applyFont="1" applyFill="1" applyBorder="1" applyAlignment="1" applyProtection="1">
      <alignment horizontal="left" vertical="top" wrapText="1"/>
      <protection locked="0"/>
    </xf>
    <xf numFmtId="0" fontId="25" fillId="2" borderId="39" xfId="0" applyFont="1" applyFill="1" applyBorder="1" applyAlignment="1" applyProtection="1">
      <alignment horizontal="left" vertical="top" wrapText="1"/>
      <protection locked="0"/>
    </xf>
    <xf numFmtId="0" fontId="25" fillId="2" borderId="40" xfId="0" applyFont="1" applyFill="1" applyBorder="1" applyAlignment="1" applyProtection="1">
      <alignment horizontal="left" vertical="top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5" fillId="2" borderId="41" xfId="0" applyFont="1" applyFill="1" applyBorder="1" applyAlignment="1" applyProtection="1">
      <alignment horizontal="left" vertical="top" wrapText="1"/>
      <protection locked="0"/>
    </xf>
    <xf numFmtId="0" fontId="25" fillId="2" borderId="42" xfId="0" applyFont="1" applyFill="1" applyBorder="1" applyAlignment="1" applyProtection="1">
      <alignment horizontal="left" vertical="top" wrapText="1"/>
      <protection locked="0"/>
    </xf>
    <xf numFmtId="0" fontId="25" fillId="2" borderId="43" xfId="0" applyFont="1" applyFill="1" applyBorder="1" applyAlignment="1" applyProtection="1">
      <alignment horizontal="left" vertical="top" wrapText="1"/>
      <protection locked="0"/>
    </xf>
    <xf numFmtId="0" fontId="24" fillId="8" borderId="5" xfId="0" applyFont="1" applyFill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left" vertical="top" wrapText="1"/>
      <protection hidden="1"/>
    </xf>
    <xf numFmtId="189" fontId="25" fillId="0" borderId="27" xfId="0" applyNumberFormat="1" applyFont="1" applyBorder="1" applyAlignment="1" applyProtection="1">
      <alignment horizontal="center"/>
      <protection hidden="1"/>
    </xf>
    <xf numFmtId="189" fontId="25" fillId="0" borderId="28" xfId="0" applyNumberFormat="1" applyFont="1" applyBorder="1" applyAlignment="1" applyProtection="1">
      <alignment horizontal="center"/>
      <protection hidden="1"/>
    </xf>
    <xf numFmtId="0" fontId="25" fillId="16" borderId="25" xfId="0" applyFont="1" applyFill="1" applyBorder="1" applyAlignment="1" applyProtection="1">
      <alignment horizontal="left" vertical="center" wrapText="1"/>
      <protection locked="0"/>
    </xf>
    <xf numFmtId="0" fontId="25" fillId="16" borderId="6" xfId="0" applyFont="1" applyFill="1" applyBorder="1" applyAlignment="1" applyProtection="1">
      <alignment horizontal="left" vertical="center" wrapText="1"/>
      <protection locked="0"/>
    </xf>
    <xf numFmtId="0" fontId="25" fillId="16" borderId="26" xfId="0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 applyProtection="1">
      <alignment horizontal="center" vertical="center" wrapText="1"/>
      <protection hidden="1"/>
    </xf>
    <xf numFmtId="0" fontId="24" fillId="0" borderId="26" xfId="0" applyFont="1" applyBorder="1" applyAlignment="1" applyProtection="1">
      <alignment horizontal="center" vertical="center" wrapText="1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24" fillId="0" borderId="44" xfId="0" applyFont="1" applyBorder="1" applyAlignment="1" applyProtection="1">
      <alignment horizontal="center" vertical="center" wrapText="1"/>
      <protection hidden="1"/>
    </xf>
    <xf numFmtId="0" fontId="24" fillId="0" borderId="46" xfId="0" applyFont="1" applyBorder="1" applyAlignment="1" applyProtection="1">
      <alignment horizontal="center" vertical="center" wrapText="1"/>
      <protection hidden="1"/>
    </xf>
    <xf numFmtId="0" fontId="24" fillId="0" borderId="27" xfId="0" applyFont="1" applyBorder="1" applyAlignment="1" applyProtection="1">
      <alignment horizontal="center" vertical="center" wrapText="1"/>
      <protection hidden="1"/>
    </xf>
    <xf numFmtId="0" fontId="24" fillId="0" borderId="28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0" fontId="31" fillId="16" borderId="38" xfId="0" applyFont="1" applyFill="1" applyBorder="1" applyAlignment="1" applyProtection="1">
      <alignment vertical="top"/>
      <protection locked="0"/>
    </xf>
    <xf numFmtId="0" fontId="31" fillId="16" borderId="40" xfId="0" applyFont="1" applyFill="1" applyBorder="1" applyAlignment="1" applyProtection="1">
      <alignment vertical="top"/>
      <protection locked="0"/>
    </xf>
    <xf numFmtId="200" fontId="25" fillId="0" borderId="0" xfId="0" applyNumberFormat="1" applyFont="1" applyBorder="1" applyAlignment="1" applyProtection="1">
      <alignment horizontal="center" vertical="center"/>
      <protection hidden="1"/>
    </xf>
    <xf numFmtId="197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23" xfId="0" applyNumberFormat="1" applyFont="1" applyBorder="1" applyAlignment="1" applyProtection="1">
      <alignment horizontal="center"/>
      <protection hidden="1"/>
    </xf>
    <xf numFmtId="0" fontId="25" fillId="0" borderId="35" xfId="0" applyNumberFormat="1" applyFont="1" applyBorder="1" applyAlignment="1" applyProtection="1">
      <alignment horizontal="center"/>
      <protection hidden="1"/>
    </xf>
    <xf numFmtId="0" fontId="25" fillId="0" borderId="36" xfId="0" applyNumberFormat="1" applyFont="1" applyBorder="1" applyAlignment="1" applyProtection="1">
      <alignment horizontal="center"/>
      <protection hidden="1"/>
    </xf>
    <xf numFmtId="0" fontId="25" fillId="0" borderId="47" xfId="0" applyFont="1" applyBorder="1" applyAlignment="1" applyProtection="1">
      <alignment horizontal="center" vertical="center" wrapText="1"/>
      <protection hidden="1"/>
    </xf>
    <xf numFmtId="0" fontId="25" fillId="0" borderId="48" xfId="0" applyFont="1" applyBorder="1" applyAlignment="1" applyProtection="1">
      <alignment horizontal="center" vertical="center" wrapText="1"/>
      <protection hidden="1"/>
    </xf>
    <xf numFmtId="0" fontId="25" fillId="0" borderId="49" xfId="0" applyFont="1" applyBorder="1" applyAlignment="1" applyProtection="1">
      <alignment horizontal="center" vertical="center" wrapText="1"/>
      <protection hidden="1"/>
    </xf>
    <xf numFmtId="0" fontId="25" fillId="0" borderId="50" xfId="0" applyFont="1" applyBorder="1" applyAlignment="1" applyProtection="1">
      <alignment horizontal="center" vertical="center" wrapText="1"/>
      <protection hidden="1"/>
    </xf>
    <xf numFmtId="189" fontId="25" fillId="0" borderId="48" xfId="0" applyNumberFormat="1" applyFont="1" applyBorder="1" applyAlignment="1" applyProtection="1">
      <alignment horizontal="center" vertical="center"/>
      <protection hidden="1"/>
    </xf>
    <xf numFmtId="189" fontId="25" fillId="0" borderId="51" xfId="0" applyNumberFormat="1" applyFont="1" applyBorder="1" applyAlignment="1" applyProtection="1">
      <alignment horizontal="center" vertical="center"/>
      <protection hidden="1"/>
    </xf>
    <xf numFmtId="189" fontId="25" fillId="0" borderId="50" xfId="0" applyNumberFormat="1" applyFont="1" applyBorder="1" applyAlignment="1" applyProtection="1">
      <alignment horizontal="center" vertical="center"/>
      <protection hidden="1"/>
    </xf>
    <xf numFmtId="189" fontId="25" fillId="0" borderId="52" xfId="0" applyNumberFormat="1" applyFont="1" applyBorder="1" applyAlignment="1" applyProtection="1">
      <alignment horizontal="center" vertical="center"/>
      <protection hidden="1"/>
    </xf>
    <xf numFmtId="189" fontId="25" fillId="0" borderId="25" xfId="0" applyNumberFormat="1" applyFont="1" applyBorder="1" applyAlignment="1" applyProtection="1">
      <alignment horizontal="center"/>
      <protection hidden="1"/>
    </xf>
    <xf numFmtId="189" fontId="25" fillId="0" borderId="26" xfId="0" applyNumberFormat="1" applyFont="1" applyBorder="1" applyAlignment="1" applyProtection="1">
      <alignment horizontal="center"/>
      <protection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25" fillId="0" borderId="0" xfId="3" applyNumberFormat="1" applyFont="1" applyBorder="1" applyAlignment="1" applyProtection="1">
      <alignment horizontal="center"/>
      <protection hidden="1"/>
    </xf>
    <xf numFmtId="189" fontId="25" fillId="0" borderId="29" xfId="0" applyNumberFormat="1" applyFont="1" applyBorder="1" applyAlignment="1" applyProtection="1">
      <alignment horizontal="center"/>
      <protection hidden="1"/>
    </xf>
    <xf numFmtId="189" fontId="25" fillId="0" borderId="30" xfId="0" applyNumberFormat="1" applyFont="1" applyBorder="1" applyAlignment="1" applyProtection="1">
      <alignment horizontal="center"/>
      <protection hidden="1"/>
    </xf>
    <xf numFmtId="0" fontId="24" fillId="0" borderId="31" xfId="0" applyFont="1" applyBorder="1" applyAlignment="1" applyProtection="1">
      <alignment horizontal="center" vertical="center" wrapText="1"/>
      <protection hidden="1"/>
    </xf>
    <xf numFmtId="0" fontId="24" fillId="0" borderId="32" xfId="0" applyFont="1" applyBorder="1" applyAlignment="1" applyProtection="1">
      <alignment horizontal="center" vertical="center" wrapText="1"/>
      <protection hidden="1"/>
    </xf>
    <xf numFmtId="0" fontId="24" fillId="0" borderId="33" xfId="0" applyFont="1" applyBorder="1" applyAlignment="1" applyProtection="1">
      <alignment horizontal="center" vertical="center" wrapText="1"/>
      <protection hidden="1"/>
    </xf>
    <xf numFmtId="0" fontId="24" fillId="0" borderId="45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203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4" fillId="0" borderId="9" xfId="0" applyFont="1" applyBorder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25" fillId="0" borderId="3" xfId="0" applyFont="1" applyBorder="1" applyAlignment="1" applyProtection="1">
      <alignment horizontal="left" vertical="top" wrapText="1"/>
      <protection hidden="1"/>
    </xf>
    <xf numFmtId="0" fontId="25" fillId="3" borderId="5" xfId="0" applyFont="1" applyFill="1" applyBorder="1" applyAlignment="1" applyProtection="1">
      <alignment horizontal="center" vertical="center" wrapText="1"/>
      <protection hidden="1"/>
    </xf>
    <xf numFmtId="197" fontId="25" fillId="3" borderId="5" xfId="0" applyNumberFormat="1" applyFont="1" applyFill="1" applyBorder="1" applyAlignment="1" applyProtection="1">
      <alignment horizontal="center" vertical="center"/>
      <protection hidden="1"/>
    </xf>
    <xf numFmtId="200" fontId="25" fillId="3" borderId="5" xfId="0" applyNumberFormat="1" applyFont="1" applyFill="1" applyBorder="1" applyAlignment="1" applyProtection="1">
      <alignment horizontal="center" vertical="center"/>
      <protection hidden="1"/>
    </xf>
    <xf numFmtId="0" fontId="25" fillId="2" borderId="22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6" borderId="5" xfId="0" applyFont="1" applyFill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left" vertical="center" wrapText="1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5" fillId="0" borderId="5" xfId="0" applyFont="1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/>
      <protection hidden="1"/>
    </xf>
    <xf numFmtId="0" fontId="24" fillId="0" borderId="18" xfId="0" applyFont="1" applyBorder="1" applyAlignment="1" applyProtection="1">
      <alignment horizontal="center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6" fillId="0" borderId="19" xfId="0" applyFont="1" applyBorder="1" applyAlignment="1" applyProtection="1">
      <alignment horizontal="left" vertical="center" wrapText="1"/>
      <protection hidden="1"/>
    </xf>
    <xf numFmtId="0" fontId="26" fillId="0" borderId="18" xfId="0" applyFont="1" applyBorder="1" applyAlignment="1" applyProtection="1">
      <alignment horizontal="left" vertical="center" wrapText="1"/>
      <protection hidden="1"/>
    </xf>
    <xf numFmtId="0" fontId="26" fillId="0" borderId="9" xfId="0" applyFont="1" applyBorder="1" applyAlignment="1" applyProtection="1">
      <alignment horizontal="left" vertical="center" wrapText="1"/>
      <protection hidden="1"/>
    </xf>
    <xf numFmtId="0" fontId="25" fillId="0" borderId="19" xfId="0" applyFont="1" applyBorder="1" applyAlignment="1" applyProtection="1">
      <alignment horizontal="center"/>
      <protection hidden="1"/>
    </xf>
    <xf numFmtId="0" fontId="25" fillId="0" borderId="9" xfId="0" applyFont="1" applyBorder="1" applyAlignment="1" applyProtection="1">
      <alignment horizontal="center"/>
      <protection hidden="1"/>
    </xf>
    <xf numFmtId="197" fontId="25" fillId="2" borderId="5" xfId="0" applyNumberFormat="1" applyFont="1" applyFill="1" applyBorder="1" applyAlignment="1" applyProtection="1">
      <alignment horizontal="center" vertical="center"/>
      <protection locked="0"/>
    </xf>
    <xf numFmtId="206" fontId="25" fillId="3" borderId="5" xfId="0" applyNumberFormat="1" applyFont="1" applyFill="1" applyBorder="1" applyAlignment="1" applyProtection="1">
      <alignment horizontal="center" vertical="center"/>
      <protection hidden="1"/>
    </xf>
    <xf numFmtId="0" fontId="2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18" xfId="0" applyNumberFormat="1" applyFont="1" applyFill="1" applyBorder="1" applyAlignment="1" applyProtection="1">
      <alignment horizontal="center" vertical="center" wrapText="1"/>
      <protection locked="0"/>
    </xf>
    <xf numFmtId="189" fontId="31" fillId="0" borderId="5" xfId="0" applyNumberFormat="1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3" xfId="0" applyFont="1" applyBorder="1" applyAlignment="1" applyProtection="1">
      <alignment horizontal="center"/>
      <protection hidden="1"/>
    </xf>
    <xf numFmtId="0" fontId="25" fillId="16" borderId="5" xfId="0" applyFont="1" applyFill="1" applyBorder="1" applyAlignment="1" applyProtection="1">
      <alignment horizontal="left" vertical="top" wrapText="1"/>
      <protection locked="0"/>
    </xf>
    <xf numFmtId="190" fontId="25" fillId="2" borderId="5" xfId="0" applyNumberFormat="1" applyFont="1" applyFill="1" applyBorder="1" applyAlignment="1" applyProtection="1">
      <alignment horizontal="center" vertical="center"/>
      <protection locked="0"/>
    </xf>
    <xf numFmtId="191" fontId="25" fillId="3" borderId="5" xfId="0" applyNumberFormat="1" applyFont="1" applyFill="1" applyBorder="1" applyAlignment="1" applyProtection="1">
      <alignment horizontal="center" vertical="center"/>
      <protection hidden="1"/>
    </xf>
    <xf numFmtId="197" fontId="25" fillId="3" borderId="18" xfId="0" applyNumberFormat="1" applyFont="1" applyFill="1" applyBorder="1" applyAlignment="1" applyProtection="1">
      <alignment horizontal="center" vertical="center"/>
      <protection hidden="1"/>
    </xf>
    <xf numFmtId="189" fontId="25" fillId="0" borderId="5" xfId="0" applyNumberFormat="1" applyFont="1" applyBorder="1" applyAlignment="1" applyProtection="1">
      <alignment horizontal="center" vertical="center" wrapText="1"/>
      <protection hidden="1"/>
    </xf>
    <xf numFmtId="189" fontId="25" fillId="0" borderId="19" xfId="0" applyNumberFormat="1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24" fillId="0" borderId="3" xfId="0" applyFont="1" applyBorder="1" applyAlignment="1" applyProtection="1">
      <alignment horizontal="left" vertical="center" wrapText="1"/>
      <protection hidden="1"/>
    </xf>
    <xf numFmtId="0" fontId="45" fillId="0" borderId="19" xfId="0" applyFont="1" applyBorder="1" applyAlignment="1" applyProtection="1">
      <alignment horizontal="center" vertical="center" wrapText="1"/>
      <protection hidden="1"/>
    </xf>
    <xf numFmtId="0" fontId="45" fillId="0" borderId="18" xfId="0" applyFont="1" applyBorder="1" applyAlignment="1" applyProtection="1">
      <alignment horizontal="center" vertical="center" wrapText="1"/>
      <protection hidden="1"/>
    </xf>
    <xf numFmtId="0" fontId="45" fillId="0" borderId="9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5" fillId="16" borderId="19" xfId="0" applyFont="1" applyFill="1" applyBorder="1" applyAlignment="1" applyProtection="1">
      <alignment horizontal="left" vertical="top" wrapText="1"/>
      <protection locked="0"/>
    </xf>
    <xf numFmtId="0" fontId="25" fillId="16" borderId="18" xfId="0" applyFont="1" applyFill="1" applyBorder="1" applyAlignment="1" applyProtection="1">
      <alignment horizontal="left" vertical="top" wrapText="1"/>
      <protection locked="0"/>
    </xf>
    <xf numFmtId="0" fontId="25" fillId="16" borderId="9" xfId="0" applyFont="1" applyFill="1" applyBorder="1" applyAlignment="1" applyProtection="1">
      <alignment horizontal="left" vertical="top" wrapText="1"/>
      <protection locked="0"/>
    </xf>
    <xf numFmtId="189" fontId="25" fillId="0" borderId="20" xfId="0" applyNumberFormat="1" applyFont="1" applyBorder="1" applyAlignment="1" applyProtection="1">
      <alignment horizontal="center" vertical="center"/>
      <protection hidden="1"/>
    </xf>
    <xf numFmtId="2" fontId="25" fillId="0" borderId="0" xfId="3" applyNumberFormat="1" applyFont="1" applyBorder="1" applyAlignment="1" applyProtection="1">
      <alignment horizontal="center"/>
      <protection hidden="1"/>
    </xf>
    <xf numFmtId="0" fontId="44" fillId="3" borderId="0" xfId="0" applyFont="1" applyFill="1" applyBorder="1" applyAlignment="1" applyProtection="1">
      <alignment horizontal="center"/>
      <protection locked="0"/>
    </xf>
    <xf numFmtId="0" fontId="44" fillId="3" borderId="3" xfId="0" applyFont="1" applyFill="1" applyBorder="1" applyAlignment="1" applyProtection="1">
      <alignment horizontal="center"/>
      <protection locked="0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4" fillId="0" borderId="20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left" vertical="center"/>
      <protection hidden="1"/>
    </xf>
    <xf numFmtId="0" fontId="24" fillId="0" borderId="7" xfId="0" applyFont="1" applyBorder="1" applyAlignment="1" applyProtection="1">
      <alignment horizontal="left" vertical="center"/>
      <protection hidden="1"/>
    </xf>
    <xf numFmtId="0" fontId="24" fillId="0" borderId="8" xfId="0" applyFont="1" applyBorder="1" applyAlignment="1" applyProtection="1">
      <alignment horizontal="left" vertical="center"/>
      <protection hidden="1"/>
    </xf>
    <xf numFmtId="2" fontId="25" fillId="0" borderId="0" xfId="0" applyNumberFormat="1" applyFont="1" applyBorder="1" applyAlignment="1" applyProtection="1">
      <alignment horizontal="center" vertical="center"/>
      <protection hidden="1"/>
    </xf>
    <xf numFmtId="0" fontId="31" fillId="0" borderId="9" xfId="0" applyFont="1" applyBorder="1" applyAlignment="1" applyProtection="1">
      <alignment horizontal="center" vertical="center"/>
      <protection hidden="1"/>
    </xf>
    <xf numFmtId="0" fontId="31" fillId="0" borderId="5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0" fontId="25" fillId="0" borderId="20" xfId="0" applyFont="1" applyBorder="1" applyAlignment="1" applyProtection="1">
      <alignment horizontal="left" vertical="top" wrapText="1"/>
      <protection hidden="1"/>
    </xf>
    <xf numFmtId="0" fontId="25" fillId="0" borderId="16" xfId="0" applyFont="1" applyBorder="1" applyAlignment="1" applyProtection="1">
      <alignment horizontal="left" vertical="top" wrapText="1"/>
      <protection hidden="1"/>
    </xf>
    <xf numFmtId="0" fontId="0" fillId="0" borderId="0" xfId="0" quotePrefix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200" fontId="26" fillId="0" borderId="0" xfId="0" applyNumberFormat="1" applyFont="1" applyBorder="1" applyAlignment="1" applyProtection="1">
      <alignment horizontal="center" vertical="center" wrapText="1"/>
      <protection hidden="1"/>
    </xf>
    <xf numFmtId="197" fontId="26" fillId="0" borderId="0" xfId="2" applyNumberFormat="1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0" fontId="25" fillId="0" borderId="3" xfId="0" applyFont="1" applyBorder="1" applyAlignment="1" applyProtection="1">
      <alignment horizontal="left" wrapText="1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25" fillId="0" borderId="7" xfId="0" applyFont="1" applyBorder="1" applyAlignment="1" applyProtection="1">
      <alignment horizontal="center"/>
      <protection hidden="1"/>
    </xf>
    <xf numFmtId="0" fontId="26" fillId="0" borderId="7" xfId="0" applyFont="1" applyBorder="1" applyAlignment="1" applyProtection="1">
      <alignment horizontal="center" vertical="center"/>
      <protection hidden="1"/>
    </xf>
    <xf numFmtId="197" fontId="25" fillId="0" borderId="0" xfId="0" applyNumberFormat="1" applyFont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left" vertical="top" wrapText="1"/>
      <protection hidden="1"/>
    </xf>
    <xf numFmtId="0" fontId="26" fillId="0" borderId="18" xfId="0" applyFont="1" applyBorder="1" applyAlignment="1" applyProtection="1">
      <alignment horizontal="left" vertical="top" wrapText="1"/>
      <protection hidden="1"/>
    </xf>
    <xf numFmtId="0" fontId="26" fillId="0" borderId="9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2" fontId="26" fillId="0" borderId="20" xfId="0" applyNumberFormat="1" applyFont="1" applyBorder="1" applyAlignment="1" applyProtection="1">
      <alignment horizontal="center" vertical="center"/>
      <protection hidden="1"/>
    </xf>
    <xf numFmtId="1" fontId="26" fillId="0" borderId="20" xfId="0" applyNumberFormat="1" applyFont="1" applyBorder="1" applyAlignment="1" applyProtection="1">
      <alignment horizontal="center" vertical="center"/>
      <protection hidden="1"/>
    </xf>
    <xf numFmtId="204" fontId="25" fillId="2" borderId="5" xfId="0" applyNumberFormat="1" applyFont="1" applyFill="1" applyBorder="1" applyAlignment="1" applyProtection="1">
      <alignment horizontal="center" vertical="top"/>
      <protection locked="0"/>
    </xf>
    <xf numFmtId="0" fontId="25" fillId="0" borderId="19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9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31" fillId="0" borderId="19" xfId="0" applyFont="1" applyBorder="1" applyAlignment="1" applyProtection="1">
      <alignment horizontal="left" vertical="top" wrapText="1"/>
      <protection hidden="1"/>
    </xf>
    <xf numFmtId="0" fontId="31" fillId="0" borderId="18" xfId="0" applyFont="1" applyBorder="1" applyAlignment="1" applyProtection="1">
      <alignment horizontal="left" vertical="top" wrapText="1"/>
      <protection hidden="1"/>
    </xf>
    <xf numFmtId="0" fontId="31" fillId="0" borderId="9" xfId="0" applyFont="1" applyBorder="1" applyAlignment="1" applyProtection="1">
      <alignment horizontal="left" vertical="top" wrapText="1"/>
      <protection hidden="1"/>
    </xf>
    <xf numFmtId="204" fontId="25" fillId="0" borderId="0" xfId="0" applyNumberFormat="1" applyFont="1" applyBorder="1" applyAlignment="1" applyProtection="1">
      <alignment horizontal="center" vertical="center"/>
      <protection hidden="1"/>
    </xf>
    <xf numFmtId="0" fontId="31" fillId="0" borderId="20" xfId="0" applyFont="1" applyBorder="1" applyAlignment="1" applyProtection="1">
      <alignment horizontal="center"/>
      <protection hidden="1"/>
    </xf>
    <xf numFmtId="0" fontId="25" fillId="0" borderId="17" xfId="0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25" fillId="6" borderId="19" xfId="0" applyFont="1" applyFill="1" applyBorder="1" applyAlignment="1" applyProtection="1">
      <alignment horizontal="center" vertical="center"/>
      <protection locked="0"/>
    </xf>
    <xf numFmtId="0" fontId="25" fillId="6" borderId="9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25" fillId="10" borderId="23" xfId="0" applyFont="1" applyFill="1" applyBorder="1" applyAlignment="1" applyProtection="1">
      <alignment horizontal="center" vertical="center"/>
      <protection locked="0"/>
    </xf>
    <xf numFmtId="0" fontId="25" fillId="10" borderId="36" xfId="0" applyFont="1" applyFill="1" applyBorder="1" applyAlignment="1" applyProtection="1">
      <alignment horizontal="center" vertical="center"/>
      <protection locked="0"/>
    </xf>
    <xf numFmtId="0" fontId="25" fillId="7" borderId="23" xfId="0" applyFont="1" applyFill="1" applyBorder="1" applyAlignment="1" applyProtection="1">
      <alignment horizontal="center" vertical="center"/>
      <protection locked="0"/>
    </xf>
    <xf numFmtId="0" fontId="25" fillId="7" borderId="36" xfId="0" applyFont="1" applyFill="1" applyBorder="1" applyAlignment="1" applyProtection="1">
      <alignment horizontal="center" vertical="center"/>
      <protection locked="0"/>
    </xf>
    <xf numFmtId="0" fontId="25" fillId="6" borderId="18" xfId="0" applyFont="1" applyFill="1" applyBorder="1" applyAlignment="1" applyProtection="1">
      <alignment horizontal="center" vertical="center"/>
      <protection locked="0"/>
    </xf>
    <xf numFmtId="0" fontId="25" fillId="15" borderId="23" xfId="0" applyFont="1" applyFill="1" applyBorder="1" applyAlignment="1" applyProtection="1">
      <alignment horizontal="center" vertical="center"/>
      <protection locked="0"/>
    </xf>
    <xf numFmtId="0" fontId="25" fillId="15" borderId="36" xfId="0" applyFont="1" applyFill="1" applyBorder="1" applyAlignment="1" applyProtection="1">
      <alignment horizontal="center" vertical="center"/>
      <protection locked="0"/>
    </xf>
    <xf numFmtId="0" fontId="25" fillId="7" borderId="35" xfId="0" applyFont="1" applyFill="1" applyBorder="1" applyAlignment="1" applyProtection="1">
      <alignment horizontal="center" vertical="center"/>
      <protection locked="0"/>
    </xf>
    <xf numFmtId="0" fontId="25" fillId="6" borderId="22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 vertical="center"/>
      <protection hidden="1"/>
    </xf>
    <xf numFmtId="0" fontId="25" fillId="0" borderId="5" xfId="0" applyFont="1" applyFill="1" applyBorder="1" applyAlignment="1" applyProtection="1">
      <alignment horizontal="center" vertical="center" wrapText="1"/>
      <protection hidden="1"/>
    </xf>
    <xf numFmtId="0" fontId="25" fillId="9" borderId="23" xfId="0" applyFont="1" applyFill="1" applyBorder="1" applyAlignment="1" applyProtection="1">
      <alignment horizontal="center" vertical="center"/>
      <protection locked="0"/>
    </xf>
    <xf numFmtId="0" fontId="25" fillId="9" borderId="36" xfId="0" applyFont="1" applyFill="1" applyBorder="1" applyAlignment="1" applyProtection="1">
      <alignment horizontal="center" vertical="center"/>
      <protection locked="0"/>
    </xf>
    <xf numFmtId="0" fontId="25" fillId="0" borderId="6" xfId="0" applyFont="1" applyFill="1" applyBorder="1" applyAlignment="1" applyProtection="1">
      <alignment horizontal="center" vertical="center" wrapText="1"/>
      <protection hidden="1"/>
    </xf>
    <xf numFmtId="0" fontId="25" fillId="6" borderId="16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hidden="1"/>
    </xf>
    <xf numFmtId="0" fontId="31" fillId="0" borderId="18" xfId="0" applyFont="1" applyBorder="1" applyAlignment="1" applyProtection="1">
      <alignment horizontal="center" vertical="center"/>
      <protection hidden="1"/>
    </xf>
    <xf numFmtId="0" fontId="24" fillId="8" borderId="19" xfId="0" applyFont="1" applyFill="1" applyBorder="1" applyAlignment="1" applyProtection="1">
      <alignment horizontal="center" vertical="center" wrapText="1"/>
      <protection hidden="1"/>
    </xf>
    <xf numFmtId="0" fontId="24" fillId="8" borderId="18" xfId="0" applyFont="1" applyFill="1" applyBorder="1" applyAlignment="1" applyProtection="1">
      <alignment horizontal="center" vertical="center" wrapText="1"/>
      <protection hidden="1"/>
    </xf>
    <xf numFmtId="0" fontId="24" fillId="8" borderId="9" xfId="0" applyFont="1" applyFill="1" applyBorder="1" applyAlignment="1" applyProtection="1">
      <alignment horizontal="center" vertical="center" wrapText="1"/>
      <protection hidden="1"/>
    </xf>
    <xf numFmtId="194" fontId="25" fillId="3" borderId="5" xfId="0" applyNumberFormat="1" applyFont="1" applyFill="1" applyBorder="1" applyAlignment="1" applyProtection="1">
      <alignment horizontal="center" vertical="center"/>
      <protection hidden="1"/>
    </xf>
    <xf numFmtId="192" fontId="25" fillId="2" borderId="19" xfId="0" applyNumberFormat="1" applyFont="1" applyFill="1" applyBorder="1" applyAlignment="1" applyProtection="1">
      <alignment horizontal="center" vertical="center"/>
      <protection locked="0"/>
    </xf>
    <xf numFmtId="192" fontId="25" fillId="2" borderId="18" xfId="0" applyNumberFormat="1" applyFont="1" applyFill="1" applyBorder="1" applyAlignment="1" applyProtection="1">
      <alignment horizontal="center" vertical="center"/>
      <protection locked="0"/>
    </xf>
    <xf numFmtId="192" fontId="25" fillId="2" borderId="9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left" vertical="top" wrapText="1"/>
      <protection hidden="1"/>
    </xf>
    <xf numFmtId="0" fontId="25" fillId="0" borderId="18" xfId="0" applyFont="1" applyBorder="1" applyAlignment="1" applyProtection="1">
      <alignment horizontal="left" vertical="top" wrapText="1"/>
      <protection hidden="1"/>
    </xf>
    <xf numFmtId="0" fontId="25" fillId="0" borderId="9" xfId="0" applyFont="1" applyBorder="1" applyAlignment="1" applyProtection="1">
      <alignment horizontal="left" vertical="top" wrapText="1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5" fillId="0" borderId="9" xfId="0" applyFont="1" applyBorder="1" applyAlignment="1" applyProtection="1">
      <alignment horizontal="center" vertical="center"/>
      <protection hidden="1"/>
    </xf>
    <xf numFmtId="0" fontId="25" fillId="2" borderId="5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/>
      <protection hidden="1"/>
    </xf>
    <xf numFmtId="0" fontId="25" fillId="0" borderId="2" xfId="0" applyFont="1" applyBorder="1" applyAlignment="1" applyProtection="1">
      <alignment horizontal="left"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5" fillId="0" borderId="3" xfId="0" applyFont="1" applyBorder="1" applyAlignment="1" applyProtection="1">
      <alignment horizontal="left" vertical="top"/>
      <protection hidden="1"/>
    </xf>
    <xf numFmtId="0" fontId="27" fillId="0" borderId="2" xfId="0" applyFont="1" applyBorder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horizontal="left" vertical="top" wrapText="1"/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5" fillId="0" borderId="18" xfId="0" applyFont="1" applyBorder="1" applyAlignment="1" applyProtection="1">
      <alignment horizontal="left" vertical="top" wrapText="1"/>
      <protection locked="0"/>
    </xf>
    <xf numFmtId="0" fontId="25" fillId="0" borderId="22" xfId="0" applyFont="1" applyBorder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24" fillId="0" borderId="1" xfId="0" applyFont="1" applyBorder="1" applyAlignment="1" applyProtection="1">
      <alignment horizontal="center" vertical="center" wrapText="1"/>
      <protection locked="0" hidden="1"/>
    </xf>
    <xf numFmtId="0" fontId="24" fillId="0" borderId="4" xfId="0" applyFont="1" applyBorder="1" applyAlignment="1" applyProtection="1">
      <alignment horizontal="center" vertical="center" wrapText="1"/>
      <protection locked="0" hidden="1"/>
    </xf>
    <xf numFmtId="0" fontId="24" fillId="0" borderId="6" xfId="0" applyFont="1" applyBorder="1" applyAlignment="1" applyProtection="1">
      <alignment horizontal="center" vertical="center" wrapText="1"/>
      <protection locked="0" hidden="1"/>
    </xf>
    <xf numFmtId="2" fontId="24" fillId="6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24" fillId="6" borderId="6" xfId="0" applyNumberFormat="1" applyFont="1" applyFill="1" applyBorder="1" applyAlignment="1" applyProtection="1">
      <alignment horizontal="center" vertical="center" wrapText="1"/>
      <protection locked="0" hidden="1"/>
    </xf>
    <xf numFmtId="2" fontId="24" fillId="17" borderId="1" xfId="0" applyNumberFormat="1" applyFont="1" applyFill="1" applyBorder="1" applyAlignment="1" applyProtection="1">
      <alignment horizontal="center" wrapText="1"/>
      <protection locked="0" hidden="1"/>
    </xf>
    <xf numFmtId="2" fontId="24" fillId="17" borderId="6" xfId="0" applyNumberFormat="1" applyFont="1" applyFill="1" applyBorder="1" applyAlignment="1" applyProtection="1">
      <alignment horizontal="center" wrapText="1"/>
      <protection locked="0" hidden="1"/>
    </xf>
    <xf numFmtId="2" fontId="24" fillId="17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24" fillId="17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19" xfId="0" applyFont="1" applyBorder="1" applyAlignment="1" applyProtection="1">
      <alignment horizontal="left"/>
      <protection locked="0" hidden="1"/>
    </xf>
    <xf numFmtId="0" fontId="24" fillId="0" borderId="18" xfId="0" applyFont="1" applyBorder="1" applyAlignment="1" applyProtection="1">
      <alignment horizontal="left"/>
      <protection locked="0" hidden="1"/>
    </xf>
    <xf numFmtId="0" fontId="24" fillId="0" borderId="9" xfId="0" applyFont="1" applyBorder="1" applyAlignment="1" applyProtection="1">
      <alignment horizontal="left"/>
      <protection locked="0" hidden="1"/>
    </xf>
    <xf numFmtId="200" fontId="25" fillId="0" borderId="5" xfId="0" applyNumberFormat="1" applyFont="1" applyBorder="1" applyAlignment="1" applyProtection="1">
      <alignment horizontal="center" vertical="center" wrapText="1"/>
      <protection locked="0" hidden="1"/>
    </xf>
    <xf numFmtId="2" fontId="24" fillId="17" borderId="5" xfId="0" applyNumberFormat="1" applyFont="1" applyFill="1" applyBorder="1" applyAlignment="1" applyProtection="1">
      <alignment horizontal="center" vertical="center" wrapText="1"/>
      <protection locked="0" hidden="1"/>
    </xf>
    <xf numFmtId="2" fontId="24" fillId="3" borderId="5" xfId="2" applyNumberFormat="1" applyFont="1" applyFill="1" applyBorder="1" applyAlignment="1" applyProtection="1">
      <alignment horizontal="center" vertical="center"/>
      <protection locked="0" hidden="1"/>
    </xf>
    <xf numFmtId="2" fontId="25" fillId="0" borderId="5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5" xfId="0" applyFont="1" applyFill="1" applyBorder="1" applyAlignment="1" applyProtection="1">
      <alignment horizontal="center" vertical="center"/>
      <protection locked="0" hidden="1"/>
    </xf>
    <xf numFmtId="197" fontId="25" fillId="0" borderId="5" xfId="0" applyNumberFormat="1" applyFont="1" applyBorder="1" applyAlignment="1" applyProtection="1">
      <alignment horizontal="center" vertical="center" wrapText="1"/>
      <protection locked="0" hidden="1"/>
    </xf>
    <xf numFmtId="0" fontId="24" fillId="0" borderId="19" xfId="0" applyFont="1" applyBorder="1" applyAlignment="1" applyProtection="1">
      <alignment horizontal="left" wrapText="1"/>
      <protection locked="0" hidden="1"/>
    </xf>
    <xf numFmtId="0" fontId="24" fillId="0" borderId="18" xfId="0" applyFont="1" applyBorder="1" applyAlignment="1" applyProtection="1">
      <alignment horizontal="left" wrapText="1"/>
      <protection locked="0" hidden="1"/>
    </xf>
    <xf numFmtId="0" fontId="24" fillId="0" borderId="9" xfId="0" applyFont="1" applyBorder="1" applyAlignment="1" applyProtection="1">
      <alignment horizontal="left" wrapText="1"/>
      <protection locked="0" hidden="1"/>
    </xf>
    <xf numFmtId="0" fontId="31" fillId="0" borderId="1" xfId="0" applyFont="1" applyBorder="1" applyAlignment="1" applyProtection="1">
      <alignment horizontal="left" vertical="top" wrapText="1"/>
      <protection locked="0" hidden="1"/>
    </xf>
    <xf numFmtId="0" fontId="31" fillId="0" borderId="6" xfId="0" applyFont="1" applyBorder="1" applyAlignment="1" applyProtection="1">
      <alignment horizontal="left" vertical="top" wrapText="1"/>
      <protection locked="0" hidden="1"/>
    </xf>
    <xf numFmtId="0" fontId="24" fillId="0" borderId="5" xfId="0" applyFont="1" applyBorder="1" applyAlignment="1" applyProtection="1">
      <alignment horizontal="center" vertical="center"/>
      <protection locked="0" hidden="1"/>
    </xf>
    <xf numFmtId="0" fontId="24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1" xfId="0" applyFont="1" applyBorder="1" applyAlignment="1" applyProtection="1">
      <alignment horizontal="center" vertical="center"/>
      <protection locked="0" hidden="1"/>
    </xf>
    <xf numFmtId="0" fontId="24" fillId="0" borderId="4" xfId="0" applyFont="1" applyBorder="1" applyAlignment="1" applyProtection="1">
      <alignment horizontal="center" vertical="center"/>
      <protection locked="0" hidden="1"/>
    </xf>
    <xf numFmtId="0" fontId="24" fillId="0" borderId="6" xfId="0" applyFont="1" applyBorder="1" applyAlignment="1" applyProtection="1">
      <alignment horizontal="center" vertical="center"/>
      <protection locked="0" hidden="1"/>
    </xf>
    <xf numFmtId="0" fontId="24" fillId="0" borderId="19" xfId="0" applyFont="1" applyBorder="1" applyAlignment="1" applyProtection="1">
      <alignment horizontal="left" vertical="center"/>
      <protection locked="0" hidden="1"/>
    </xf>
    <xf numFmtId="0" fontId="24" fillId="0" borderId="18" xfId="0" applyFont="1" applyBorder="1" applyAlignment="1" applyProtection="1">
      <alignment horizontal="left" vertical="center"/>
      <protection locked="0" hidden="1"/>
    </xf>
    <xf numFmtId="0" fontId="24" fillId="0" borderId="9" xfId="0" applyFont="1" applyBorder="1" applyAlignment="1" applyProtection="1">
      <alignment horizontal="left" vertical="center"/>
      <protection locked="0" hidden="1"/>
    </xf>
    <xf numFmtId="0" fontId="24" fillId="0" borderId="19" xfId="0" applyFont="1" applyBorder="1" applyAlignment="1" applyProtection="1">
      <alignment horizontal="center"/>
      <protection locked="0" hidden="1"/>
    </xf>
    <xf numFmtId="0" fontId="24" fillId="0" borderId="18" xfId="0" applyFont="1" applyBorder="1" applyAlignment="1" applyProtection="1">
      <alignment horizontal="center"/>
      <protection locked="0" hidden="1"/>
    </xf>
    <xf numFmtId="0" fontId="24" fillId="0" borderId="9" xfId="0" applyFont="1" applyBorder="1" applyAlignment="1" applyProtection="1">
      <alignment horizontal="center"/>
      <protection locked="0" hidden="1"/>
    </xf>
    <xf numFmtId="43" fontId="24" fillId="0" borderId="5" xfId="2" applyNumberFormat="1" applyFont="1" applyBorder="1" applyAlignment="1" applyProtection="1">
      <alignment horizontal="center" vertical="center" wrapText="1"/>
      <protection locked="0" hidden="1"/>
    </xf>
    <xf numFmtId="2" fontId="24" fillId="14" borderId="1" xfId="2" applyNumberFormat="1" applyFont="1" applyFill="1" applyBorder="1" applyAlignment="1" applyProtection="1">
      <alignment horizontal="center" vertical="center"/>
      <protection locked="0" hidden="1"/>
    </xf>
    <xf numFmtId="2" fontId="24" fillId="14" borderId="6" xfId="2" applyNumberFormat="1" applyFont="1" applyFill="1" applyBorder="1" applyAlignment="1" applyProtection="1">
      <alignment horizontal="center" vertical="center"/>
      <protection locked="0" hidden="1"/>
    </xf>
    <xf numFmtId="0" fontId="23" fillId="0" borderId="0" xfId="0" applyFont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 vertical="top" wrapText="1"/>
      <protection locked="0" hidden="1"/>
    </xf>
    <xf numFmtId="0" fontId="45" fillId="0" borderId="1" xfId="0" applyFont="1" applyBorder="1" applyAlignment="1" applyProtection="1">
      <alignment horizontal="center" vertical="center" wrapText="1"/>
      <protection locked="0" hidden="1"/>
    </xf>
    <xf numFmtId="0" fontId="45" fillId="0" borderId="6" xfId="0" applyFont="1" applyBorder="1" applyAlignment="1" applyProtection="1">
      <alignment horizontal="center" vertical="center" wrapText="1"/>
      <protection locked="0" hidden="1"/>
    </xf>
    <xf numFmtId="202" fontId="25" fillId="0" borderId="5" xfId="0" applyNumberFormat="1" applyFont="1" applyBorder="1" applyAlignment="1" applyProtection="1">
      <alignment horizontal="center" vertical="center"/>
      <protection locked="0" hidden="1"/>
    </xf>
    <xf numFmtId="0" fontId="24" fillId="0" borderId="17" xfId="0" applyFont="1" applyBorder="1" applyAlignment="1" applyProtection="1">
      <alignment horizontal="left"/>
      <protection locked="0" hidden="1"/>
    </xf>
    <xf numFmtId="0" fontId="24" fillId="0" borderId="7" xfId="0" applyFont="1" applyBorder="1" applyAlignment="1" applyProtection="1">
      <alignment horizontal="left"/>
      <protection locked="0" hidden="1"/>
    </xf>
    <xf numFmtId="0" fontId="24" fillId="0" borderId="8" xfId="0" applyFont="1" applyBorder="1" applyAlignment="1" applyProtection="1">
      <alignment horizontal="left"/>
      <protection locked="0" hidden="1"/>
    </xf>
    <xf numFmtId="0" fontId="24" fillId="0" borderId="2" xfId="0" applyFont="1" applyBorder="1" applyAlignment="1" applyProtection="1">
      <alignment horizontal="left"/>
      <protection locked="0" hidden="1"/>
    </xf>
    <xf numFmtId="0" fontId="24" fillId="0" borderId="0" xfId="0" applyFont="1" applyBorder="1" applyAlignment="1" applyProtection="1">
      <alignment horizontal="left"/>
      <protection locked="0" hidden="1"/>
    </xf>
    <xf numFmtId="0" fontId="24" fillId="0" borderId="3" xfId="0" applyFont="1" applyBorder="1" applyAlignment="1" applyProtection="1">
      <alignment horizontal="left"/>
      <protection locked="0" hidden="1"/>
    </xf>
    <xf numFmtId="197" fontId="25" fillId="0" borderId="5" xfId="0" applyNumberFormat="1" applyFont="1" applyBorder="1" applyAlignment="1" applyProtection="1">
      <alignment horizontal="center" vertical="center"/>
      <protection locked="0" hidden="1"/>
    </xf>
    <xf numFmtId="0" fontId="31" fillId="0" borderId="5" xfId="0" applyFont="1" applyBorder="1" applyAlignment="1" applyProtection="1">
      <alignment horizontal="left" vertical="top" wrapText="1"/>
      <protection locked="0" hidden="1"/>
    </xf>
    <xf numFmtId="191" fontId="10" fillId="0" borderId="1" xfId="0" applyNumberFormat="1" applyFont="1" applyBorder="1" applyAlignment="1" applyProtection="1">
      <alignment horizontal="center" vertical="center" wrapText="1"/>
      <protection locked="0" hidden="1"/>
    </xf>
    <xf numFmtId="191" fontId="10" fillId="0" borderId="6" xfId="0" applyNumberFormat="1" applyFont="1" applyBorder="1" applyAlignment="1" applyProtection="1">
      <alignment horizontal="center" vertical="center" wrapText="1"/>
      <protection locked="0" hidden="1"/>
    </xf>
    <xf numFmtId="0" fontId="31" fillId="0" borderId="1" xfId="0" applyFont="1" applyBorder="1" applyAlignment="1" applyProtection="1">
      <alignment horizontal="center" vertical="center"/>
      <protection locked="0" hidden="1"/>
    </xf>
    <xf numFmtId="0" fontId="31" fillId="0" borderId="6" xfId="0" applyFont="1" applyBorder="1" applyAlignment="1" applyProtection="1">
      <alignment horizontal="center" vertical="center"/>
      <protection locked="0" hidden="1"/>
    </xf>
    <xf numFmtId="0" fontId="24" fillId="0" borderId="19" xfId="0" applyFont="1" applyBorder="1" applyAlignment="1" applyProtection="1">
      <alignment horizontal="center" vertical="center"/>
      <protection locked="0" hidden="1"/>
    </xf>
    <xf numFmtId="0" fontId="24" fillId="0" borderId="18" xfId="0" applyFont="1" applyBorder="1" applyAlignment="1" applyProtection="1">
      <alignment horizontal="center" vertical="center"/>
      <protection locked="0" hidden="1"/>
    </xf>
    <xf numFmtId="0" fontId="24" fillId="0" borderId="9" xfId="0" applyFont="1" applyBorder="1" applyAlignment="1" applyProtection="1">
      <alignment horizontal="center" vertical="center"/>
      <protection locked="0" hidden="1"/>
    </xf>
    <xf numFmtId="2" fontId="14" fillId="3" borderId="5" xfId="2" applyNumberFormat="1" applyFont="1" applyFill="1" applyBorder="1" applyAlignment="1" applyProtection="1">
      <alignment horizontal="center" vertical="center"/>
      <protection locked="0"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 applyProtection="1">
      <alignment horizontal="center" vertical="center"/>
      <protection hidden="1"/>
    </xf>
    <xf numFmtId="0" fontId="25" fillId="2" borderId="18" xfId="0" applyFont="1" applyFill="1" applyBorder="1" applyAlignment="1" applyProtection="1">
      <alignment horizontal="left" vertical="top" wrapText="1"/>
      <protection locked="0"/>
    </xf>
  </cellXfs>
  <cellStyles count="4">
    <cellStyle name="Hyperlink" xfId="1" builtinId="8"/>
    <cellStyle name="จุลภาค" xfId="2" builtinId="3"/>
    <cellStyle name="ปกติ" xfId="0" builtinId="0"/>
    <cellStyle name="เปอร์เซ็นต์" xfId="3" builtinId="5"/>
  </cellStyles>
  <dxfs count="9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ความพึงพอใจต่อการบริหารหลักสูตร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'หมวด2-4.3'!$D$18:$F$18</c:f>
              <c:numCache>
                <c:formatCode>0.00</c:formatCode>
                <c:ptCount val="3"/>
                <c:pt idx="0">
                  <c:v>4.4000000000000004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B-4749-BAE5-6E0C711F5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1109392"/>
        <c:axId val="1"/>
      </c:barChart>
      <c:catAx>
        <c:axId val="124110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4110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อัตราการคงอยู่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9050" cap="rnd">
                <a:solidFill>
                  <a:prstClr val="black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'หมวด3-3.3'!$P$9:$P$14</c:f>
              <c:numCache>
                <c:formatCode>0.00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5-4EE4-8BF4-416EF3597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094416"/>
        <c:axId val="1"/>
      </c:lineChart>
      <c:catAx>
        <c:axId val="124109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4109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อัตราการสำเร็จการศึกษา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9050" cap="rnd">
                <a:solidFill>
                  <a:prstClr val="black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'หมวด3-3.3'!$Q$9:$Q$13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88-4C86-AC41-C70FB5891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095664"/>
        <c:axId val="1"/>
      </c:lineChart>
      <c:catAx>
        <c:axId val="124109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4109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ความพึงพอใจ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trendline>
            <c:spPr>
              <a:ln w="19050" cap="rnd">
                <a:solidFill>
                  <a:prstClr val="black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'หมวด3-3.3'!$M$45:$O$45</c:f>
              <c:numCache>
                <c:formatCode>0.00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E-4551-94A8-67B8DFCC6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087344"/>
        <c:axId val="1"/>
      </c:barChart>
      <c:catAx>
        <c:axId val="124108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410873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H$8" lockText="1" noThreeD="1"/>
</file>

<file path=xl/ctrlProps/ctrlProp10.xml><?xml version="1.0" encoding="utf-8"?>
<formControlPr xmlns="http://schemas.microsoft.com/office/spreadsheetml/2009/9/main" objectType="CheckBox" fmlaLink="$I$12" lockText="1" noThreeD="1"/>
</file>

<file path=xl/ctrlProps/ctrlProp11.xml><?xml version="1.0" encoding="utf-8"?>
<formControlPr xmlns="http://schemas.microsoft.com/office/spreadsheetml/2009/9/main" objectType="CheckBox" checked="Checked" fmlaLink="$H$13" lockText="1" noThreeD="1"/>
</file>

<file path=xl/ctrlProps/ctrlProp12.xml><?xml version="1.0" encoding="utf-8"?>
<formControlPr xmlns="http://schemas.microsoft.com/office/spreadsheetml/2009/9/main" objectType="CheckBox" fmlaLink="$I$13" lockText="1" noThreeD="1"/>
</file>

<file path=xl/ctrlProps/ctrlProp13.xml><?xml version="1.0" encoding="utf-8"?>
<formControlPr xmlns="http://schemas.microsoft.com/office/spreadsheetml/2009/9/main" objectType="CheckBox" checked="Checked" fmlaLink="$H$14" lockText="1" noThreeD="1"/>
</file>

<file path=xl/ctrlProps/ctrlProp14.xml><?xml version="1.0" encoding="utf-8"?>
<formControlPr xmlns="http://schemas.microsoft.com/office/spreadsheetml/2009/9/main" objectType="CheckBox" fmlaLink="$I$14" lockText="1" noThreeD="1"/>
</file>

<file path=xl/ctrlProps/ctrlProp15.xml><?xml version="1.0" encoding="utf-8"?>
<formControlPr xmlns="http://schemas.microsoft.com/office/spreadsheetml/2009/9/main" objectType="CheckBox" checked="Checked" fmlaLink="$H$15" lockText="1" noThreeD="1"/>
</file>

<file path=xl/ctrlProps/ctrlProp16.xml><?xml version="1.0" encoding="utf-8"?>
<formControlPr xmlns="http://schemas.microsoft.com/office/spreadsheetml/2009/9/main" objectType="CheckBox" fmlaLink="$I$15" lockText="1" noThreeD="1"/>
</file>

<file path=xl/ctrlProps/ctrlProp17.xml><?xml version="1.0" encoding="utf-8"?>
<formControlPr xmlns="http://schemas.microsoft.com/office/spreadsheetml/2009/9/main" objectType="CheckBox" checked="Checked" fmlaLink="$H$16" lockText="1" noThreeD="1"/>
</file>

<file path=xl/ctrlProps/ctrlProp18.xml><?xml version="1.0" encoding="utf-8"?>
<formControlPr xmlns="http://schemas.microsoft.com/office/spreadsheetml/2009/9/main" objectType="CheckBox" fmlaLink="$I$16" lockText="1" noThreeD="1"/>
</file>

<file path=xl/ctrlProps/ctrlProp19.xml><?xml version="1.0" encoding="utf-8"?>
<formControlPr xmlns="http://schemas.microsoft.com/office/spreadsheetml/2009/9/main" objectType="CheckBox" checked="Checked" fmlaLink="$H$17" lockText="1" noThreeD="1"/>
</file>

<file path=xl/ctrlProps/ctrlProp2.xml><?xml version="1.0" encoding="utf-8"?>
<formControlPr xmlns="http://schemas.microsoft.com/office/spreadsheetml/2009/9/main" objectType="CheckBox" fmlaLink="$I$8" lockText="1" noThreeD="1"/>
</file>

<file path=xl/ctrlProps/ctrlProp20.xml><?xml version="1.0" encoding="utf-8"?>
<formControlPr xmlns="http://schemas.microsoft.com/office/spreadsheetml/2009/9/main" objectType="CheckBox" fmlaLink="$I$17" lockText="1" noThreeD="1"/>
</file>

<file path=xl/ctrlProps/ctrlProp21.xml><?xml version="1.0" encoding="utf-8"?>
<formControlPr xmlns="http://schemas.microsoft.com/office/spreadsheetml/2009/9/main" objectType="CheckBox" checked="Checked" fmlaLink="$H$18" lockText="1" noThreeD="1"/>
</file>

<file path=xl/ctrlProps/ctrlProp22.xml><?xml version="1.0" encoding="utf-8"?>
<formControlPr xmlns="http://schemas.microsoft.com/office/spreadsheetml/2009/9/main" objectType="CheckBox" fmlaLink="$I$18" lockText="1" noThreeD="1"/>
</file>

<file path=xl/ctrlProps/ctrlProp23.xml><?xml version="1.0" encoding="utf-8"?>
<formControlPr xmlns="http://schemas.microsoft.com/office/spreadsheetml/2009/9/main" objectType="CheckBox" checked="Checked" fmlaLink="$K$5" lockText="1" noThreeD="1"/>
</file>

<file path=xl/ctrlProps/ctrlProp24.xml><?xml version="1.0" encoding="utf-8"?>
<formControlPr xmlns="http://schemas.microsoft.com/office/spreadsheetml/2009/9/main" objectType="CheckBox" checked="Checked" fmlaLink="$K$4" lockText="1" noThreeD="1"/>
</file>

<file path=xl/ctrlProps/ctrlProp25.xml><?xml version="1.0" encoding="utf-8"?>
<formControlPr xmlns="http://schemas.microsoft.com/office/spreadsheetml/2009/9/main" objectType="CheckBox" checked="Checked" fmlaLink="$I$6" lockText="1" noThreeD="1"/>
</file>

<file path=xl/ctrlProps/ctrlProp26.xml><?xml version="1.0" encoding="utf-8"?>
<formControlPr xmlns="http://schemas.microsoft.com/office/spreadsheetml/2009/9/main" objectType="CheckBox" checked="Checked" fmlaLink="$J$6" lockText="1" noThreeD="1"/>
</file>

<file path=xl/ctrlProps/ctrlProp27.xml><?xml version="1.0" encoding="utf-8"?>
<formControlPr xmlns="http://schemas.microsoft.com/office/spreadsheetml/2009/9/main" objectType="CheckBox" checked="Checked" fmlaLink="$I$7" lockText="1" noThreeD="1"/>
</file>

<file path=xl/ctrlProps/ctrlProp28.xml><?xml version="1.0" encoding="utf-8"?>
<formControlPr xmlns="http://schemas.microsoft.com/office/spreadsheetml/2009/9/main" objectType="CheckBox" checked="Checked" fmlaLink="$J$7" lockText="1" noThreeD="1"/>
</file>

<file path=xl/ctrlProps/ctrlProp29.xml><?xml version="1.0" encoding="utf-8"?>
<formControlPr xmlns="http://schemas.microsoft.com/office/spreadsheetml/2009/9/main" objectType="CheckBox" checked="Checked" fmlaLink="I8" lockText="1" noThreeD="1"/>
</file>

<file path=xl/ctrlProps/ctrlProp3.xml><?xml version="1.0" encoding="utf-8"?>
<formControlPr xmlns="http://schemas.microsoft.com/office/spreadsheetml/2009/9/main" objectType="CheckBox" checked="Checked" fmlaLink="$H$9" lockText="1" noThreeD="1"/>
</file>

<file path=xl/ctrlProps/ctrlProp30.xml><?xml version="1.0" encoding="utf-8"?>
<formControlPr xmlns="http://schemas.microsoft.com/office/spreadsheetml/2009/9/main" objectType="CheckBox" checked="Checked" fmlaLink="J8" lockText="1" noThreeD="1"/>
</file>

<file path=xl/ctrlProps/ctrlProp31.xml><?xml version="1.0" encoding="utf-8"?>
<formControlPr xmlns="http://schemas.microsoft.com/office/spreadsheetml/2009/9/main" objectType="CheckBox" checked="Checked" fmlaLink="I9" lockText="1" noThreeD="1"/>
</file>

<file path=xl/ctrlProps/ctrlProp32.xml><?xml version="1.0" encoding="utf-8"?>
<formControlPr xmlns="http://schemas.microsoft.com/office/spreadsheetml/2009/9/main" objectType="CheckBox" checked="Checked" fmlaLink="J9" lockText="1" noThreeD="1"/>
</file>

<file path=xl/ctrlProps/ctrlProp33.xml><?xml version="1.0" encoding="utf-8"?>
<formControlPr xmlns="http://schemas.microsoft.com/office/spreadsheetml/2009/9/main" objectType="CheckBox" checked="Checked" fmlaLink="I10" lockText="1" noThreeD="1"/>
</file>

<file path=xl/ctrlProps/ctrlProp34.xml><?xml version="1.0" encoding="utf-8"?>
<formControlPr xmlns="http://schemas.microsoft.com/office/spreadsheetml/2009/9/main" objectType="CheckBox" checked="Checked" fmlaLink="J10" lockText="1" noThreeD="1"/>
</file>

<file path=xl/ctrlProps/ctrlProp35.xml><?xml version="1.0" encoding="utf-8"?>
<formControlPr xmlns="http://schemas.microsoft.com/office/spreadsheetml/2009/9/main" objectType="CheckBox" checked="Checked" fmlaLink="I11" lockText="1" noThreeD="1"/>
</file>

<file path=xl/ctrlProps/ctrlProp36.xml><?xml version="1.0" encoding="utf-8"?>
<formControlPr xmlns="http://schemas.microsoft.com/office/spreadsheetml/2009/9/main" objectType="CheckBox" checked="Checked" fmlaLink="J11" lockText="1" noThreeD="1"/>
</file>

<file path=xl/ctrlProps/ctrlProp37.xml><?xml version="1.0" encoding="utf-8"?>
<formControlPr xmlns="http://schemas.microsoft.com/office/spreadsheetml/2009/9/main" objectType="CheckBox" checked="Checked" fmlaLink="I12" lockText="1" noThreeD="1"/>
</file>

<file path=xl/ctrlProps/ctrlProp38.xml><?xml version="1.0" encoding="utf-8"?>
<formControlPr xmlns="http://schemas.microsoft.com/office/spreadsheetml/2009/9/main" objectType="CheckBox" checked="Checked" fmlaLink="J12" lockText="1" noThreeD="1"/>
</file>

<file path=xl/ctrlProps/ctrlProp39.xml><?xml version="1.0" encoding="utf-8"?>
<formControlPr xmlns="http://schemas.microsoft.com/office/spreadsheetml/2009/9/main" objectType="CheckBox" checked="Checked" fmlaLink="I13" lockText="1" noThreeD="1"/>
</file>

<file path=xl/ctrlProps/ctrlProp4.xml><?xml version="1.0" encoding="utf-8"?>
<formControlPr xmlns="http://schemas.microsoft.com/office/spreadsheetml/2009/9/main" objectType="CheckBox" fmlaLink="$I$9" lockText="1" noThreeD="1"/>
</file>

<file path=xl/ctrlProps/ctrlProp40.xml><?xml version="1.0" encoding="utf-8"?>
<formControlPr xmlns="http://schemas.microsoft.com/office/spreadsheetml/2009/9/main" objectType="CheckBox" checked="Checked" fmlaLink="J13" lockText="1" noThreeD="1"/>
</file>

<file path=xl/ctrlProps/ctrlProp41.xml><?xml version="1.0" encoding="utf-8"?>
<formControlPr xmlns="http://schemas.microsoft.com/office/spreadsheetml/2009/9/main" objectType="CheckBox" checked="Checked" fmlaLink="I14" lockText="1" noThreeD="1"/>
</file>

<file path=xl/ctrlProps/ctrlProp42.xml><?xml version="1.0" encoding="utf-8"?>
<formControlPr xmlns="http://schemas.microsoft.com/office/spreadsheetml/2009/9/main" objectType="CheckBox" checked="Checked" fmlaLink="J14" lockText="1" noThreeD="1"/>
</file>

<file path=xl/ctrlProps/ctrlProp43.xml><?xml version="1.0" encoding="utf-8"?>
<formControlPr xmlns="http://schemas.microsoft.com/office/spreadsheetml/2009/9/main" objectType="CheckBox" checked="Checked" fmlaLink="I15" lockText="1" noThreeD="1"/>
</file>

<file path=xl/ctrlProps/ctrlProp44.xml><?xml version="1.0" encoding="utf-8"?>
<formControlPr xmlns="http://schemas.microsoft.com/office/spreadsheetml/2009/9/main" objectType="CheckBox" checked="Checked" fmlaLink="J15" lockText="1" noThreeD="1"/>
</file>

<file path=xl/ctrlProps/ctrlProp45.xml><?xml version="1.0" encoding="utf-8"?>
<formControlPr xmlns="http://schemas.microsoft.com/office/spreadsheetml/2009/9/main" objectType="CheckBox" checked="Checked" fmlaLink="I16" lockText="1" noThreeD="1"/>
</file>

<file path=xl/ctrlProps/ctrlProp46.xml><?xml version="1.0" encoding="utf-8"?>
<formControlPr xmlns="http://schemas.microsoft.com/office/spreadsheetml/2009/9/main" objectType="CheckBox" checked="Checked" fmlaLink="J16" lockText="1" noThreeD="1"/>
</file>

<file path=xl/ctrlProps/ctrlProp47.xml><?xml version="1.0" encoding="utf-8"?>
<formControlPr xmlns="http://schemas.microsoft.com/office/spreadsheetml/2009/9/main" objectType="CheckBox" checked="Checked" fmlaLink="I17" lockText="1" noThreeD="1"/>
</file>

<file path=xl/ctrlProps/ctrlProp48.xml><?xml version="1.0" encoding="utf-8"?>
<formControlPr xmlns="http://schemas.microsoft.com/office/spreadsheetml/2009/9/main" objectType="CheckBox" checked="Checked" fmlaLink="J17" lockText="1" noThreeD="1"/>
</file>

<file path=xl/ctrlProps/ctrlProp49.xml><?xml version="1.0" encoding="utf-8"?>
<formControlPr xmlns="http://schemas.microsoft.com/office/spreadsheetml/2009/9/main" objectType="CheckBox" fmlaLink="$I$18" lockText="1" noThreeD="1"/>
</file>

<file path=xl/ctrlProps/ctrlProp5.xml><?xml version="1.0" encoding="utf-8"?>
<formControlPr xmlns="http://schemas.microsoft.com/office/spreadsheetml/2009/9/main" objectType="CheckBox" checked="Checked" fmlaLink="$H$10" lockText="1" noThreeD="1"/>
</file>

<file path=xl/ctrlProps/ctrlProp50.xml><?xml version="1.0" encoding="utf-8"?>
<formControlPr xmlns="http://schemas.microsoft.com/office/spreadsheetml/2009/9/main" objectType="CheckBox" fmlaLink="J18" lockText="1" noThreeD="1"/>
</file>

<file path=xl/ctrlProps/ctrlProp51.xml><?xml version="1.0" encoding="utf-8"?>
<formControlPr xmlns="http://schemas.microsoft.com/office/spreadsheetml/2009/9/main" objectType="CheckBox" fmlaLink="$J$19" lockText="1" noThreeD="1"/>
</file>

<file path=xl/ctrlProps/ctrlProp52.xml><?xml version="1.0" encoding="utf-8"?>
<formControlPr xmlns="http://schemas.microsoft.com/office/spreadsheetml/2009/9/main" objectType="CheckBox" fmlaLink="$I$19" lockText="1" noThreeD="1"/>
</file>

<file path=xl/ctrlProps/ctrlProp53.xml><?xml version="1.0" encoding="utf-8"?>
<formControlPr xmlns="http://schemas.microsoft.com/office/spreadsheetml/2009/9/main" objectType="CheckBox" fmlaLink="$I$20" lockText="1" noThreeD="1"/>
</file>

<file path=xl/ctrlProps/ctrlProp54.xml><?xml version="1.0" encoding="utf-8"?>
<formControlPr xmlns="http://schemas.microsoft.com/office/spreadsheetml/2009/9/main" objectType="CheckBox" fmlaLink="$I$21" lockText="1" noThreeD="1"/>
</file>

<file path=xl/ctrlProps/ctrlProp55.xml><?xml version="1.0" encoding="utf-8"?>
<formControlPr xmlns="http://schemas.microsoft.com/office/spreadsheetml/2009/9/main" objectType="CheckBox" fmlaLink="$J$20" lockText="1" noThreeD="1"/>
</file>

<file path=xl/ctrlProps/ctrlProp56.xml><?xml version="1.0" encoding="utf-8"?>
<formControlPr xmlns="http://schemas.microsoft.com/office/spreadsheetml/2009/9/main" objectType="CheckBox" fmlaLink="$J$21" lockText="1" noThreeD="1"/>
</file>

<file path=xl/ctrlProps/ctrlProp57.xml><?xml version="1.0" encoding="utf-8"?>
<formControlPr xmlns="http://schemas.microsoft.com/office/spreadsheetml/2009/9/main" objectType="CheckBox" fmlaLink="$J$22" lockText="1" noThreeD="1"/>
</file>

<file path=xl/ctrlProps/ctrlProp58.xml><?xml version="1.0" encoding="utf-8"?>
<formControlPr xmlns="http://schemas.microsoft.com/office/spreadsheetml/2009/9/main" objectType="CheckBox" fmlaLink="$J$23" lockText="1" noThreeD="1"/>
</file>

<file path=xl/ctrlProps/ctrlProp59.xml><?xml version="1.0" encoding="utf-8"?>
<formControlPr xmlns="http://schemas.microsoft.com/office/spreadsheetml/2009/9/main" objectType="CheckBox" fmlaLink="$I$22" lockText="1" noThreeD="1"/>
</file>

<file path=xl/ctrlProps/ctrlProp6.xml><?xml version="1.0" encoding="utf-8"?>
<formControlPr xmlns="http://schemas.microsoft.com/office/spreadsheetml/2009/9/main" objectType="CheckBox" fmlaLink="$I$10" lockText="1" noThreeD="1"/>
</file>

<file path=xl/ctrlProps/ctrlProp60.xml><?xml version="1.0" encoding="utf-8"?>
<formControlPr xmlns="http://schemas.microsoft.com/office/spreadsheetml/2009/9/main" objectType="CheckBox" fmlaLink="$I$23" lockText="1" noThreeD="1"/>
</file>

<file path=xl/ctrlProps/ctrlProp61.xml><?xml version="1.0" encoding="utf-8"?>
<formControlPr xmlns="http://schemas.microsoft.com/office/spreadsheetml/2009/9/main" objectType="CheckBox" checked="Checked" fmlaLink="$I$16" lockText="1" noThreeD="1"/>
</file>

<file path=xl/ctrlProps/ctrlProp62.xml><?xml version="1.0" encoding="utf-8"?>
<formControlPr xmlns="http://schemas.microsoft.com/office/spreadsheetml/2009/9/main" objectType="CheckBox" checked="Checked" fmlaLink="$I$18" lockText="1" noThreeD="1"/>
</file>

<file path=xl/ctrlProps/ctrlProp63.xml><?xml version="1.0" encoding="utf-8"?>
<formControlPr xmlns="http://schemas.microsoft.com/office/spreadsheetml/2009/9/main" objectType="CheckBox" checked="Checked" fmlaLink="$I$22" lockText="1" noThreeD="1"/>
</file>

<file path=xl/ctrlProps/ctrlProp64.xml><?xml version="1.0" encoding="utf-8"?>
<formControlPr xmlns="http://schemas.microsoft.com/office/spreadsheetml/2009/9/main" objectType="CheckBox" checked="Checked" fmlaLink="$I$23" lockText="1" noThreeD="1"/>
</file>

<file path=xl/ctrlProps/ctrlProp65.xml><?xml version="1.0" encoding="utf-8"?>
<formControlPr xmlns="http://schemas.microsoft.com/office/spreadsheetml/2009/9/main" objectType="CheckBox" checked="Checked" fmlaLink="$I$24" lockText="1" noThreeD="1"/>
</file>

<file path=xl/ctrlProps/ctrlProp66.xml><?xml version="1.0" encoding="utf-8"?>
<formControlPr xmlns="http://schemas.microsoft.com/office/spreadsheetml/2009/9/main" objectType="CheckBox" checked="Checked" fmlaLink="$I$27" lockText="1" noThreeD="1"/>
</file>

<file path=xl/ctrlProps/ctrlProp67.xml><?xml version="1.0" encoding="utf-8"?>
<formControlPr xmlns="http://schemas.microsoft.com/office/spreadsheetml/2009/9/main" objectType="CheckBox" checked="Checked" fmlaLink="$I$28" lockText="1" noThreeD="1"/>
</file>

<file path=xl/ctrlProps/ctrlProp68.xml><?xml version="1.0" encoding="utf-8"?>
<formControlPr xmlns="http://schemas.microsoft.com/office/spreadsheetml/2009/9/main" objectType="CheckBox" checked="Checked" fmlaLink="$I$37" lockText="1" noThreeD="1"/>
</file>

<file path=xl/ctrlProps/ctrlProp69.xml><?xml version="1.0" encoding="utf-8"?>
<formControlPr xmlns="http://schemas.microsoft.com/office/spreadsheetml/2009/9/main" objectType="CheckBox" checked="Checked" fmlaLink="$I$40" lockText="1" noThreeD="1"/>
</file>

<file path=xl/ctrlProps/ctrlProp7.xml><?xml version="1.0" encoding="utf-8"?>
<formControlPr xmlns="http://schemas.microsoft.com/office/spreadsheetml/2009/9/main" objectType="CheckBox" checked="Checked" fmlaLink="$H$11" lockText="1" noThreeD="1"/>
</file>

<file path=xl/ctrlProps/ctrlProp70.xml><?xml version="1.0" encoding="utf-8"?>
<formControlPr xmlns="http://schemas.microsoft.com/office/spreadsheetml/2009/9/main" objectType="CheckBox" checked="Checked" fmlaLink="$I$41" lockText="1" noThreeD="1"/>
</file>

<file path=xl/ctrlProps/ctrlProp71.xml><?xml version="1.0" encoding="utf-8"?>
<formControlPr xmlns="http://schemas.microsoft.com/office/spreadsheetml/2009/9/main" objectType="CheckBox" checked="Checked" fmlaLink="$I$42" lockText="1" noThreeD="1"/>
</file>

<file path=xl/ctrlProps/ctrlProp72.xml><?xml version="1.0" encoding="utf-8"?>
<formControlPr xmlns="http://schemas.microsoft.com/office/spreadsheetml/2009/9/main" objectType="CheckBox" checked="Checked" fmlaLink="$I$43" lockText="1" noThreeD="1"/>
</file>

<file path=xl/ctrlProps/ctrlProp73.xml><?xml version="1.0" encoding="utf-8"?>
<formControlPr xmlns="http://schemas.microsoft.com/office/spreadsheetml/2009/9/main" objectType="CheckBox" checked="Checked" fmlaLink="$I$47" lockText="1" noThreeD="1"/>
</file>

<file path=xl/ctrlProps/ctrlProp8.xml><?xml version="1.0" encoding="utf-8"?>
<formControlPr xmlns="http://schemas.microsoft.com/office/spreadsheetml/2009/9/main" objectType="CheckBox" fmlaLink="$I$11" lockText="1" noThreeD="1"/>
</file>

<file path=xl/ctrlProps/ctrlProp9.xml><?xml version="1.0" encoding="utf-8"?>
<formControlPr xmlns="http://schemas.microsoft.com/office/spreadsheetml/2009/9/main" objectType="CheckBox" checked="Checked" fmlaLink="$H$12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</xdr:row>
          <xdr:rowOff>9525</xdr:rowOff>
        </xdr:from>
        <xdr:to>
          <xdr:col>0</xdr:col>
          <xdr:colOff>523875</xdr:colOff>
          <xdr:row>7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7D2C2D44-A9C3-9B2F-8C1A-A92588A126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7</xdr:row>
          <xdr:rowOff>9525</xdr:rowOff>
        </xdr:from>
        <xdr:to>
          <xdr:col>0</xdr:col>
          <xdr:colOff>1038225</xdr:colOff>
          <xdr:row>7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27FD611B-526C-A107-7627-1B5CF30EC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</xdr:row>
          <xdr:rowOff>9525</xdr:rowOff>
        </xdr:from>
        <xdr:to>
          <xdr:col>0</xdr:col>
          <xdr:colOff>533400</xdr:colOff>
          <xdr:row>8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BAC301B-43D7-528F-A89E-5F54934AA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8</xdr:row>
          <xdr:rowOff>9525</xdr:rowOff>
        </xdr:from>
        <xdr:to>
          <xdr:col>0</xdr:col>
          <xdr:colOff>1038225</xdr:colOff>
          <xdr:row>8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253006C-688A-D6B4-217A-4FAA5D66DD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</xdr:row>
          <xdr:rowOff>9525</xdr:rowOff>
        </xdr:from>
        <xdr:to>
          <xdr:col>0</xdr:col>
          <xdr:colOff>523875</xdr:colOff>
          <xdr:row>9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FFAF0516-E405-2B90-DC27-B4BD18683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9</xdr:row>
          <xdr:rowOff>19050</xdr:rowOff>
        </xdr:from>
        <xdr:to>
          <xdr:col>0</xdr:col>
          <xdr:colOff>1038225</xdr:colOff>
          <xdr:row>9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44DCE1B9-78D5-C378-B8C8-490ACE7A95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10</xdr:row>
          <xdr:rowOff>9525</xdr:rowOff>
        </xdr:from>
        <xdr:to>
          <xdr:col>0</xdr:col>
          <xdr:colOff>533400</xdr:colOff>
          <xdr:row>10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3379927-B93B-5BB3-5FF4-1E05745665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10</xdr:row>
          <xdr:rowOff>19050</xdr:rowOff>
        </xdr:from>
        <xdr:to>
          <xdr:col>0</xdr:col>
          <xdr:colOff>1028700</xdr:colOff>
          <xdr:row>10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80CAFF61-201F-F05D-C83E-62E7EE809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11</xdr:row>
          <xdr:rowOff>9525</xdr:rowOff>
        </xdr:from>
        <xdr:to>
          <xdr:col>0</xdr:col>
          <xdr:colOff>523875</xdr:colOff>
          <xdr:row>11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2D300554-B194-C08F-D681-3EA8F0B73B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11</xdr:row>
          <xdr:rowOff>19050</xdr:rowOff>
        </xdr:from>
        <xdr:to>
          <xdr:col>0</xdr:col>
          <xdr:colOff>1047750</xdr:colOff>
          <xdr:row>11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E45B9694-6E1C-593D-B057-F12252121C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9525</xdr:rowOff>
        </xdr:from>
        <xdr:to>
          <xdr:col>0</xdr:col>
          <xdr:colOff>514350</xdr:colOff>
          <xdr:row>12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CEB951B9-C27F-8D1F-DBD6-401C51B2C6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12</xdr:row>
          <xdr:rowOff>19050</xdr:rowOff>
        </xdr:from>
        <xdr:to>
          <xdr:col>0</xdr:col>
          <xdr:colOff>1047750</xdr:colOff>
          <xdr:row>12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83D8463-7EF2-74EA-8153-AE9AD23783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9525</xdr:rowOff>
        </xdr:from>
        <xdr:to>
          <xdr:col>0</xdr:col>
          <xdr:colOff>523875</xdr:colOff>
          <xdr:row>13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F435D66A-A1D5-5F6C-427C-B987382D0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13</xdr:row>
          <xdr:rowOff>19050</xdr:rowOff>
        </xdr:from>
        <xdr:to>
          <xdr:col>0</xdr:col>
          <xdr:colOff>1038225</xdr:colOff>
          <xdr:row>13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1E6C9EC6-645F-A7EF-2715-2C6574DF58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9525</xdr:rowOff>
        </xdr:from>
        <xdr:to>
          <xdr:col>0</xdr:col>
          <xdr:colOff>514350</xdr:colOff>
          <xdr:row>14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8ED7919C-D6D8-B5B2-8A4E-A873D50A84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14</xdr:row>
          <xdr:rowOff>19050</xdr:rowOff>
        </xdr:from>
        <xdr:to>
          <xdr:col>0</xdr:col>
          <xdr:colOff>1028700</xdr:colOff>
          <xdr:row>14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7E1376DA-3D38-BC81-592B-4D5A6C9ED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15</xdr:row>
          <xdr:rowOff>9525</xdr:rowOff>
        </xdr:from>
        <xdr:to>
          <xdr:col>0</xdr:col>
          <xdr:colOff>523875</xdr:colOff>
          <xdr:row>15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87BC3BB7-AA83-CF02-68F9-923E1D9C32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15</xdr:row>
          <xdr:rowOff>19050</xdr:rowOff>
        </xdr:from>
        <xdr:to>
          <xdr:col>0</xdr:col>
          <xdr:colOff>1038225</xdr:colOff>
          <xdr:row>15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9731A280-A622-B4D4-8E30-2853FFA408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9525</xdr:rowOff>
        </xdr:from>
        <xdr:to>
          <xdr:col>0</xdr:col>
          <xdr:colOff>523875</xdr:colOff>
          <xdr:row>16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70778061-2427-4923-B3F4-100A67CD4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16</xdr:row>
          <xdr:rowOff>19050</xdr:rowOff>
        </xdr:from>
        <xdr:to>
          <xdr:col>0</xdr:col>
          <xdr:colOff>1019175</xdr:colOff>
          <xdr:row>16</xdr:row>
          <xdr:rowOff>257175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33874B94-E5BA-0582-52CF-618BBC3CE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9525</xdr:rowOff>
        </xdr:from>
        <xdr:to>
          <xdr:col>0</xdr:col>
          <xdr:colOff>533400</xdr:colOff>
          <xdr:row>17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7AEB559F-2938-40AF-083B-AEF1915F83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17</xdr:row>
          <xdr:rowOff>19050</xdr:rowOff>
        </xdr:from>
        <xdr:to>
          <xdr:col>0</xdr:col>
          <xdr:colOff>1028700</xdr:colOff>
          <xdr:row>17</xdr:row>
          <xdr:rowOff>257175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3B0B38F7-92E5-3CAE-A85C-4DD4353D0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ไม่ผ่าน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19</xdr:row>
      <xdr:rowOff>9525</xdr:rowOff>
    </xdr:from>
    <xdr:to>
      <xdr:col>6</xdr:col>
      <xdr:colOff>381000</xdr:colOff>
      <xdr:row>26</xdr:row>
      <xdr:rowOff>152400</xdr:rowOff>
    </xdr:to>
    <xdr:graphicFrame macro="">
      <xdr:nvGraphicFramePr>
        <xdr:cNvPr id="6155" name="แผนภูมิ 5">
          <a:extLst>
            <a:ext uri="{FF2B5EF4-FFF2-40B4-BE49-F238E27FC236}">
              <a16:creationId xmlns:a16="http://schemas.microsoft.com/office/drawing/2014/main" id="{F2283F06-7A84-DFAD-B436-0230D59B0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9525</xdr:rowOff>
        </xdr:from>
        <xdr:to>
          <xdr:col>8</xdr:col>
          <xdr:colOff>276225</xdr:colOff>
          <xdr:row>4</xdr:row>
          <xdr:rowOff>247650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91AEE4E4-F7CD-C7CC-FBCA-A5A272B3FA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ประเมิน/ไม่ประเมิน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</xdr:row>
          <xdr:rowOff>9525</xdr:rowOff>
        </xdr:from>
        <xdr:to>
          <xdr:col>8</xdr:col>
          <xdr:colOff>161925</xdr:colOff>
          <xdr:row>3</xdr:row>
          <xdr:rowOff>247650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81AB214E-20F3-C1BB-BAAF-B8C249D07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ประเมิน/ไม่ประเมิน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15</xdr:row>
      <xdr:rowOff>171450</xdr:rowOff>
    </xdr:from>
    <xdr:to>
      <xdr:col>14</xdr:col>
      <xdr:colOff>304800</xdr:colOff>
      <xdr:row>22</xdr:row>
      <xdr:rowOff>47625</xdr:rowOff>
    </xdr:to>
    <xdr:graphicFrame macro="">
      <xdr:nvGraphicFramePr>
        <xdr:cNvPr id="14363" name="แผนภูมิ 4">
          <a:extLst>
            <a:ext uri="{FF2B5EF4-FFF2-40B4-BE49-F238E27FC236}">
              <a16:creationId xmlns:a16="http://schemas.microsoft.com/office/drawing/2014/main" id="{5B4D6E58-CBAE-6A45-ADB5-A0B939A60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542925</xdr:colOff>
      <xdr:row>22</xdr:row>
      <xdr:rowOff>171450</xdr:rowOff>
    </xdr:from>
    <xdr:to>
      <xdr:col>14</xdr:col>
      <xdr:colOff>304800</xdr:colOff>
      <xdr:row>29</xdr:row>
      <xdr:rowOff>47625</xdr:rowOff>
    </xdr:to>
    <xdr:graphicFrame macro="">
      <xdr:nvGraphicFramePr>
        <xdr:cNvPr id="14364" name="แผนภูมิ 5">
          <a:extLst>
            <a:ext uri="{FF2B5EF4-FFF2-40B4-BE49-F238E27FC236}">
              <a16:creationId xmlns:a16="http://schemas.microsoft.com/office/drawing/2014/main" id="{C1AACD9E-EE7C-6FB4-0E20-CFE69FBCE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542925</xdr:colOff>
      <xdr:row>46</xdr:row>
      <xdr:rowOff>19050</xdr:rowOff>
    </xdr:from>
    <xdr:to>
      <xdr:col>14</xdr:col>
      <xdr:colOff>361950</xdr:colOff>
      <xdr:row>54</xdr:row>
      <xdr:rowOff>9525</xdr:rowOff>
    </xdr:to>
    <xdr:graphicFrame macro="">
      <xdr:nvGraphicFramePr>
        <xdr:cNvPr id="14365" name="แผนภูมิ 7">
          <a:extLst>
            <a:ext uri="{FF2B5EF4-FFF2-40B4-BE49-F238E27FC236}">
              <a16:creationId xmlns:a16="http://schemas.microsoft.com/office/drawing/2014/main" id="{255EF952-2693-F96A-E37D-560CE0EA2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</xdr:row>
          <xdr:rowOff>28575</xdr:rowOff>
        </xdr:from>
        <xdr:to>
          <xdr:col>1</xdr:col>
          <xdr:colOff>600075</xdr:colOff>
          <xdr:row>5</xdr:row>
          <xdr:rowOff>266700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2BFEB2C3-23AE-3B97-187C-F840D60EB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5</xdr:row>
          <xdr:rowOff>228600</xdr:rowOff>
        </xdr:from>
        <xdr:to>
          <xdr:col>2</xdr:col>
          <xdr:colOff>190500</xdr:colOff>
          <xdr:row>5</xdr:row>
          <xdr:rowOff>466725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6AA61FF9-E4BB-F575-3DBD-D0B43389E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</xdr:row>
          <xdr:rowOff>9525</xdr:rowOff>
        </xdr:from>
        <xdr:to>
          <xdr:col>1</xdr:col>
          <xdr:colOff>609600</xdr:colOff>
          <xdr:row>6</xdr:row>
          <xdr:rowOff>247650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126FC28-3597-24AB-D010-7D01DEF8F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</xdr:row>
          <xdr:rowOff>209550</xdr:rowOff>
        </xdr:from>
        <xdr:to>
          <xdr:col>2</xdr:col>
          <xdr:colOff>190500</xdr:colOff>
          <xdr:row>6</xdr:row>
          <xdr:rowOff>447675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147068F9-81B2-0486-3F3A-26921862A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</xdr:row>
          <xdr:rowOff>19050</xdr:rowOff>
        </xdr:from>
        <xdr:to>
          <xdr:col>1</xdr:col>
          <xdr:colOff>638175</xdr:colOff>
          <xdr:row>7</xdr:row>
          <xdr:rowOff>257175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D84913D7-EA4D-F409-568F-7AA0FC3492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7</xdr:row>
          <xdr:rowOff>219075</xdr:rowOff>
        </xdr:from>
        <xdr:to>
          <xdr:col>2</xdr:col>
          <xdr:colOff>190500</xdr:colOff>
          <xdr:row>7</xdr:row>
          <xdr:rowOff>457200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69657CD0-F3A9-8F0B-D3E5-5C7FB924BA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</xdr:row>
          <xdr:rowOff>19050</xdr:rowOff>
        </xdr:from>
        <xdr:to>
          <xdr:col>1</xdr:col>
          <xdr:colOff>619125</xdr:colOff>
          <xdr:row>8</xdr:row>
          <xdr:rowOff>257175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7B78C4F9-7B54-D4FC-89FC-B782DAC9F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8</xdr:row>
          <xdr:rowOff>219075</xdr:rowOff>
        </xdr:from>
        <xdr:to>
          <xdr:col>2</xdr:col>
          <xdr:colOff>190500</xdr:colOff>
          <xdr:row>8</xdr:row>
          <xdr:rowOff>457200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6AAD0FC3-7810-EC85-A0C4-17157E11D5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19050</xdr:rowOff>
        </xdr:from>
        <xdr:to>
          <xdr:col>1</xdr:col>
          <xdr:colOff>628650</xdr:colOff>
          <xdr:row>9</xdr:row>
          <xdr:rowOff>257175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F0467AAB-0B4F-5372-9A72-1535E4654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219075</xdr:rowOff>
        </xdr:from>
        <xdr:to>
          <xdr:col>2</xdr:col>
          <xdr:colOff>190500</xdr:colOff>
          <xdr:row>9</xdr:row>
          <xdr:rowOff>457200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447C84D7-2C12-563B-382B-917ED14D1C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</xdr:row>
          <xdr:rowOff>28575</xdr:rowOff>
        </xdr:from>
        <xdr:to>
          <xdr:col>1</xdr:col>
          <xdr:colOff>609600</xdr:colOff>
          <xdr:row>10</xdr:row>
          <xdr:rowOff>266700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8E19BC3B-1DBD-D960-C4AF-D8827876C6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10</xdr:row>
          <xdr:rowOff>228600</xdr:rowOff>
        </xdr:from>
        <xdr:to>
          <xdr:col>2</xdr:col>
          <xdr:colOff>190500</xdr:colOff>
          <xdr:row>10</xdr:row>
          <xdr:rowOff>466725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C326E513-7DE5-D03D-FD52-1410A72E28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11</xdr:row>
          <xdr:rowOff>28575</xdr:rowOff>
        </xdr:from>
        <xdr:to>
          <xdr:col>1</xdr:col>
          <xdr:colOff>609600</xdr:colOff>
          <xdr:row>11</xdr:row>
          <xdr:rowOff>266700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E0192806-EE29-5A1E-4550-50719F41A8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11</xdr:row>
          <xdr:rowOff>228600</xdr:rowOff>
        </xdr:from>
        <xdr:to>
          <xdr:col>2</xdr:col>
          <xdr:colOff>190500</xdr:colOff>
          <xdr:row>11</xdr:row>
          <xdr:rowOff>466725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331BAA0E-9E49-4D64-0628-2AD88B976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19050</xdr:rowOff>
        </xdr:from>
        <xdr:to>
          <xdr:col>1</xdr:col>
          <xdr:colOff>638175</xdr:colOff>
          <xdr:row>12</xdr:row>
          <xdr:rowOff>257175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66905CB8-8802-84C1-26B0-D527C8112C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12</xdr:row>
          <xdr:rowOff>219075</xdr:rowOff>
        </xdr:from>
        <xdr:to>
          <xdr:col>2</xdr:col>
          <xdr:colOff>190500</xdr:colOff>
          <xdr:row>12</xdr:row>
          <xdr:rowOff>457200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278AE2B1-AB42-2464-398F-751CF5131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13</xdr:row>
          <xdr:rowOff>28575</xdr:rowOff>
        </xdr:from>
        <xdr:to>
          <xdr:col>1</xdr:col>
          <xdr:colOff>609600</xdr:colOff>
          <xdr:row>13</xdr:row>
          <xdr:rowOff>266700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2DB33CA4-7DF4-CB6F-0DF6-A05D992A9B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13</xdr:row>
          <xdr:rowOff>228600</xdr:rowOff>
        </xdr:from>
        <xdr:to>
          <xdr:col>2</xdr:col>
          <xdr:colOff>190500</xdr:colOff>
          <xdr:row>13</xdr:row>
          <xdr:rowOff>466725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C3720212-037B-E110-0CB6-3F8BAFA53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14</xdr:row>
          <xdr:rowOff>19050</xdr:rowOff>
        </xdr:from>
        <xdr:to>
          <xdr:col>1</xdr:col>
          <xdr:colOff>619125</xdr:colOff>
          <xdr:row>14</xdr:row>
          <xdr:rowOff>257175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540C2D57-798A-796B-6DAA-C25C983CE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14</xdr:row>
          <xdr:rowOff>219075</xdr:rowOff>
        </xdr:from>
        <xdr:to>
          <xdr:col>2</xdr:col>
          <xdr:colOff>190500</xdr:colOff>
          <xdr:row>14</xdr:row>
          <xdr:rowOff>457200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5DCFCD59-B66B-C0D6-9BCA-577EA01797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15</xdr:row>
          <xdr:rowOff>19050</xdr:rowOff>
        </xdr:from>
        <xdr:to>
          <xdr:col>1</xdr:col>
          <xdr:colOff>628650</xdr:colOff>
          <xdr:row>15</xdr:row>
          <xdr:rowOff>257175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3C56EDD2-8B9C-1777-F61D-75B152DB8C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15</xdr:row>
          <xdr:rowOff>219075</xdr:rowOff>
        </xdr:from>
        <xdr:to>
          <xdr:col>2</xdr:col>
          <xdr:colOff>190500</xdr:colOff>
          <xdr:row>15</xdr:row>
          <xdr:rowOff>457200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857E6415-D841-2B7C-CDAC-951251D744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16</xdr:row>
          <xdr:rowOff>28575</xdr:rowOff>
        </xdr:from>
        <xdr:to>
          <xdr:col>1</xdr:col>
          <xdr:colOff>609600</xdr:colOff>
          <xdr:row>16</xdr:row>
          <xdr:rowOff>266700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DD7496EE-AC55-BDE0-7C84-167B5AB00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16</xdr:row>
          <xdr:rowOff>228600</xdr:rowOff>
        </xdr:from>
        <xdr:to>
          <xdr:col>2</xdr:col>
          <xdr:colOff>190500</xdr:colOff>
          <xdr:row>16</xdr:row>
          <xdr:rowOff>466725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977CF408-F583-61EA-0EDB-E4A201948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28575</xdr:rowOff>
        </xdr:from>
        <xdr:to>
          <xdr:col>1</xdr:col>
          <xdr:colOff>609600</xdr:colOff>
          <xdr:row>17</xdr:row>
          <xdr:rowOff>266700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  <a:ext uri="{FF2B5EF4-FFF2-40B4-BE49-F238E27FC236}">
                  <a16:creationId xmlns:a16="http://schemas.microsoft.com/office/drawing/2014/main" id="{0F9D0FF4-8EB5-18D2-032B-C27E574E2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17</xdr:row>
          <xdr:rowOff>228600</xdr:rowOff>
        </xdr:from>
        <xdr:to>
          <xdr:col>2</xdr:col>
          <xdr:colOff>190500</xdr:colOff>
          <xdr:row>17</xdr:row>
          <xdr:rowOff>466725</xdr:rowOff>
        </xdr:to>
        <xdr:sp macro="" textlink="">
          <xdr:nvSpPr>
            <xdr:cNvPr id="18488" name="Check Box 56" hidden="1">
              <a:extLst>
                <a:ext uri="{63B3BB69-23CF-44E3-9099-C40C66FF867C}">
                  <a14:compatExt spid="_x0000_s18488"/>
                </a:ext>
                <a:ext uri="{FF2B5EF4-FFF2-40B4-BE49-F238E27FC236}">
                  <a16:creationId xmlns:a16="http://schemas.microsoft.com/office/drawing/2014/main" id="{83461B05-1F95-9966-D880-28AFFEEC47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18</xdr:row>
          <xdr:rowOff>219075</xdr:rowOff>
        </xdr:from>
        <xdr:to>
          <xdr:col>2</xdr:col>
          <xdr:colOff>190500</xdr:colOff>
          <xdr:row>18</xdr:row>
          <xdr:rowOff>457200</xdr:rowOff>
        </xdr:to>
        <xdr:sp macro="" textlink="">
          <xdr:nvSpPr>
            <xdr:cNvPr id="18490" name="Check Box 58" hidden="1">
              <a:extLst>
                <a:ext uri="{63B3BB69-23CF-44E3-9099-C40C66FF867C}">
                  <a14:compatExt spid="_x0000_s18490"/>
                </a:ext>
                <a:ext uri="{FF2B5EF4-FFF2-40B4-BE49-F238E27FC236}">
                  <a16:creationId xmlns:a16="http://schemas.microsoft.com/office/drawing/2014/main" id="{DBC9A38E-C387-3430-6729-10C1566C87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18</xdr:row>
          <xdr:rowOff>28575</xdr:rowOff>
        </xdr:from>
        <xdr:to>
          <xdr:col>1</xdr:col>
          <xdr:colOff>609600</xdr:colOff>
          <xdr:row>18</xdr:row>
          <xdr:rowOff>266700</xdr:rowOff>
        </xdr:to>
        <xdr:sp macro="" textlink="">
          <xdr:nvSpPr>
            <xdr:cNvPr id="18491" name="Check Box 59" hidden="1">
              <a:extLst>
                <a:ext uri="{63B3BB69-23CF-44E3-9099-C40C66FF867C}">
                  <a14:compatExt spid="_x0000_s18491"/>
                </a:ext>
                <a:ext uri="{FF2B5EF4-FFF2-40B4-BE49-F238E27FC236}">
                  <a16:creationId xmlns:a16="http://schemas.microsoft.com/office/drawing/2014/main" id="{94BC999E-6834-380D-8E33-8C156286BA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19</xdr:row>
          <xdr:rowOff>28575</xdr:rowOff>
        </xdr:from>
        <xdr:to>
          <xdr:col>1</xdr:col>
          <xdr:colOff>609600</xdr:colOff>
          <xdr:row>19</xdr:row>
          <xdr:rowOff>266700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  <a:ext uri="{FF2B5EF4-FFF2-40B4-BE49-F238E27FC236}">
                  <a16:creationId xmlns:a16="http://schemas.microsoft.com/office/drawing/2014/main" id="{FC16312A-82D8-955D-1D2A-678AA3CFA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20</xdr:row>
          <xdr:rowOff>28575</xdr:rowOff>
        </xdr:from>
        <xdr:to>
          <xdr:col>1</xdr:col>
          <xdr:colOff>609600</xdr:colOff>
          <xdr:row>20</xdr:row>
          <xdr:rowOff>266700</xdr:rowOff>
        </xdr:to>
        <xdr:sp macro="" textlink="">
          <xdr:nvSpPr>
            <xdr:cNvPr id="18494" name="Check Box 62" hidden="1">
              <a:extLst>
                <a:ext uri="{63B3BB69-23CF-44E3-9099-C40C66FF867C}">
                  <a14:compatExt spid="_x0000_s18494"/>
                </a:ext>
                <a:ext uri="{FF2B5EF4-FFF2-40B4-BE49-F238E27FC236}">
                  <a16:creationId xmlns:a16="http://schemas.microsoft.com/office/drawing/2014/main" id="{CE8867CA-130A-533C-1065-DE90F195F9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19</xdr:row>
          <xdr:rowOff>219075</xdr:rowOff>
        </xdr:from>
        <xdr:to>
          <xdr:col>2</xdr:col>
          <xdr:colOff>190500</xdr:colOff>
          <xdr:row>19</xdr:row>
          <xdr:rowOff>457200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  <a:ext uri="{FF2B5EF4-FFF2-40B4-BE49-F238E27FC236}">
                  <a16:creationId xmlns:a16="http://schemas.microsoft.com/office/drawing/2014/main" id="{F741F6BB-74C5-9D49-958E-AB49009AE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20</xdr:row>
          <xdr:rowOff>219075</xdr:rowOff>
        </xdr:from>
        <xdr:to>
          <xdr:col>2</xdr:col>
          <xdr:colOff>190500</xdr:colOff>
          <xdr:row>20</xdr:row>
          <xdr:rowOff>457200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  <a:ext uri="{FF2B5EF4-FFF2-40B4-BE49-F238E27FC236}">
                  <a16:creationId xmlns:a16="http://schemas.microsoft.com/office/drawing/2014/main" id="{186FFB05-3678-1230-AE84-CD46D5D4B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21</xdr:row>
          <xdr:rowOff>219075</xdr:rowOff>
        </xdr:from>
        <xdr:to>
          <xdr:col>2</xdr:col>
          <xdr:colOff>190500</xdr:colOff>
          <xdr:row>21</xdr:row>
          <xdr:rowOff>457200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  <a:ext uri="{FF2B5EF4-FFF2-40B4-BE49-F238E27FC236}">
                  <a16:creationId xmlns:a16="http://schemas.microsoft.com/office/drawing/2014/main" id="{31D91214-7220-CD8D-7B8C-983B8EC5F8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22</xdr:row>
          <xdr:rowOff>219075</xdr:rowOff>
        </xdr:from>
        <xdr:to>
          <xdr:col>2</xdr:col>
          <xdr:colOff>190500</xdr:colOff>
          <xdr:row>22</xdr:row>
          <xdr:rowOff>457200</xdr:rowOff>
        </xdr:to>
        <xdr:sp macro="" textlink="">
          <xdr:nvSpPr>
            <xdr:cNvPr id="18499" name="Check Box 67" hidden="1">
              <a:extLst>
                <a:ext uri="{63B3BB69-23CF-44E3-9099-C40C66FF867C}">
                  <a14:compatExt spid="_x0000_s18499"/>
                </a:ext>
                <a:ext uri="{FF2B5EF4-FFF2-40B4-BE49-F238E27FC236}">
                  <a16:creationId xmlns:a16="http://schemas.microsoft.com/office/drawing/2014/main" id="{B6A0FD1E-7BDF-2217-A268-2EEB8D1BDA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เลือก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21</xdr:row>
          <xdr:rowOff>28575</xdr:rowOff>
        </xdr:from>
        <xdr:to>
          <xdr:col>1</xdr:col>
          <xdr:colOff>609600</xdr:colOff>
          <xdr:row>21</xdr:row>
          <xdr:rowOff>266700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  <a:ext uri="{FF2B5EF4-FFF2-40B4-BE49-F238E27FC236}">
                  <a16:creationId xmlns:a16="http://schemas.microsoft.com/office/drawing/2014/main" id="{87CF8788-2E66-A752-B6D7-552A4B727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22</xdr:row>
          <xdr:rowOff>28575</xdr:rowOff>
        </xdr:from>
        <xdr:to>
          <xdr:col>1</xdr:col>
          <xdr:colOff>609600</xdr:colOff>
          <xdr:row>22</xdr:row>
          <xdr:rowOff>266700</xdr:rowOff>
        </xdr:to>
        <xdr:sp macro="" textlink="">
          <xdr:nvSpPr>
            <xdr:cNvPr id="18501" name="Check Box 69" hidden="1">
              <a:extLst>
                <a:ext uri="{63B3BB69-23CF-44E3-9099-C40C66FF867C}">
                  <a14:compatExt spid="_x0000_s18501"/>
                </a:ext>
                <a:ext uri="{FF2B5EF4-FFF2-40B4-BE49-F238E27FC236}">
                  <a16:creationId xmlns:a16="http://schemas.microsoft.com/office/drawing/2014/main" id="{E87184D5-E7D9-EA3C-1C36-1AF3311413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ผ่าน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15</xdr:row>
          <xdr:rowOff>95250</xdr:rowOff>
        </xdr:from>
        <xdr:to>
          <xdr:col>6</xdr:col>
          <xdr:colOff>47625</xdr:colOff>
          <xdr:row>15</xdr:row>
          <xdr:rowOff>333375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  <a:ext uri="{FF2B5EF4-FFF2-40B4-BE49-F238E27FC236}">
                  <a16:creationId xmlns:a16="http://schemas.microsoft.com/office/drawing/2014/main" id="{71B9BD40-8A90-1425-8442-7CA67EEA37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17</xdr:row>
          <xdr:rowOff>95250</xdr:rowOff>
        </xdr:from>
        <xdr:to>
          <xdr:col>6</xdr:col>
          <xdr:colOff>47625</xdr:colOff>
          <xdr:row>17</xdr:row>
          <xdr:rowOff>333375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  <a:ext uri="{FF2B5EF4-FFF2-40B4-BE49-F238E27FC236}">
                  <a16:creationId xmlns:a16="http://schemas.microsoft.com/office/drawing/2014/main" id="{33BAE1D3-8C8A-1CA7-4ADB-17001E9C65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21</xdr:row>
          <xdr:rowOff>19050</xdr:rowOff>
        </xdr:from>
        <xdr:to>
          <xdr:col>6</xdr:col>
          <xdr:colOff>47625</xdr:colOff>
          <xdr:row>21</xdr:row>
          <xdr:rowOff>247650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  <a:ext uri="{FF2B5EF4-FFF2-40B4-BE49-F238E27FC236}">
                  <a16:creationId xmlns:a16="http://schemas.microsoft.com/office/drawing/2014/main" id="{E5F062C2-EB2E-D563-97CB-07DE6E03A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22</xdr:row>
          <xdr:rowOff>19050</xdr:rowOff>
        </xdr:from>
        <xdr:to>
          <xdr:col>6</xdr:col>
          <xdr:colOff>47625</xdr:colOff>
          <xdr:row>22</xdr:row>
          <xdr:rowOff>247650</xdr:rowOff>
        </xdr:to>
        <xdr:sp macro="" textlink="">
          <xdr:nvSpPr>
            <xdr:cNvPr id="53253" name="Check Box 5" hidden="1">
              <a:extLst>
                <a:ext uri="{63B3BB69-23CF-44E3-9099-C40C66FF867C}">
                  <a14:compatExt spid="_x0000_s53253"/>
                </a:ext>
                <a:ext uri="{FF2B5EF4-FFF2-40B4-BE49-F238E27FC236}">
                  <a16:creationId xmlns:a16="http://schemas.microsoft.com/office/drawing/2014/main" id="{232DBFBD-90B2-7F38-3C06-8C5ACD534D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23</xdr:row>
          <xdr:rowOff>19050</xdr:rowOff>
        </xdr:from>
        <xdr:to>
          <xdr:col>6</xdr:col>
          <xdr:colOff>47625</xdr:colOff>
          <xdr:row>23</xdr:row>
          <xdr:rowOff>247650</xdr:rowOff>
        </xdr:to>
        <xdr:sp macro="" textlink="">
          <xdr:nvSpPr>
            <xdr:cNvPr id="53254" name="Check Box 6" hidden="1">
              <a:extLst>
                <a:ext uri="{63B3BB69-23CF-44E3-9099-C40C66FF867C}">
                  <a14:compatExt spid="_x0000_s53254"/>
                </a:ext>
                <a:ext uri="{FF2B5EF4-FFF2-40B4-BE49-F238E27FC236}">
                  <a16:creationId xmlns:a16="http://schemas.microsoft.com/office/drawing/2014/main" id="{0D77F0DE-6AAF-4C5E-EBB1-0E63EEB6BF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26</xdr:row>
          <xdr:rowOff>19050</xdr:rowOff>
        </xdr:from>
        <xdr:to>
          <xdr:col>6</xdr:col>
          <xdr:colOff>47625</xdr:colOff>
          <xdr:row>26</xdr:row>
          <xdr:rowOff>247650</xdr:rowOff>
        </xdr:to>
        <xdr:sp macro="" textlink="">
          <xdr:nvSpPr>
            <xdr:cNvPr id="53255" name="Check Box 7" hidden="1">
              <a:extLst>
                <a:ext uri="{63B3BB69-23CF-44E3-9099-C40C66FF867C}">
                  <a14:compatExt spid="_x0000_s53255"/>
                </a:ext>
                <a:ext uri="{FF2B5EF4-FFF2-40B4-BE49-F238E27FC236}">
                  <a16:creationId xmlns:a16="http://schemas.microsoft.com/office/drawing/2014/main" id="{419B4572-784A-7A52-77CB-EF3203FA5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27</xdr:row>
          <xdr:rowOff>19050</xdr:rowOff>
        </xdr:from>
        <xdr:to>
          <xdr:col>6</xdr:col>
          <xdr:colOff>47625</xdr:colOff>
          <xdr:row>27</xdr:row>
          <xdr:rowOff>247650</xdr:rowOff>
        </xdr:to>
        <xdr:sp macro="" textlink="">
          <xdr:nvSpPr>
            <xdr:cNvPr id="53256" name="Check Box 8" hidden="1">
              <a:extLst>
                <a:ext uri="{63B3BB69-23CF-44E3-9099-C40C66FF867C}">
                  <a14:compatExt spid="_x0000_s53256"/>
                </a:ext>
                <a:ext uri="{FF2B5EF4-FFF2-40B4-BE49-F238E27FC236}">
                  <a16:creationId xmlns:a16="http://schemas.microsoft.com/office/drawing/2014/main" id="{C9B00966-9C01-7FA1-61CD-3D0033F710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36</xdr:row>
          <xdr:rowOff>19050</xdr:rowOff>
        </xdr:from>
        <xdr:to>
          <xdr:col>6</xdr:col>
          <xdr:colOff>47625</xdr:colOff>
          <xdr:row>36</xdr:row>
          <xdr:rowOff>247650</xdr:rowOff>
        </xdr:to>
        <xdr:sp macro="" textlink="">
          <xdr:nvSpPr>
            <xdr:cNvPr id="53257" name="Check Box 9" hidden="1">
              <a:extLst>
                <a:ext uri="{63B3BB69-23CF-44E3-9099-C40C66FF867C}">
                  <a14:compatExt spid="_x0000_s53257"/>
                </a:ext>
                <a:ext uri="{FF2B5EF4-FFF2-40B4-BE49-F238E27FC236}">
                  <a16:creationId xmlns:a16="http://schemas.microsoft.com/office/drawing/2014/main" id="{DDD53233-AB61-E82C-E996-2D24FB3A72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39</xdr:row>
          <xdr:rowOff>19050</xdr:rowOff>
        </xdr:from>
        <xdr:to>
          <xdr:col>6</xdr:col>
          <xdr:colOff>47625</xdr:colOff>
          <xdr:row>39</xdr:row>
          <xdr:rowOff>247650</xdr:rowOff>
        </xdr:to>
        <xdr:sp macro="" textlink="">
          <xdr:nvSpPr>
            <xdr:cNvPr id="53258" name="Check Box 10" hidden="1">
              <a:extLst>
                <a:ext uri="{63B3BB69-23CF-44E3-9099-C40C66FF867C}">
                  <a14:compatExt spid="_x0000_s53258"/>
                </a:ext>
                <a:ext uri="{FF2B5EF4-FFF2-40B4-BE49-F238E27FC236}">
                  <a16:creationId xmlns:a16="http://schemas.microsoft.com/office/drawing/2014/main" id="{4E5BF02D-433E-42C0-66BD-06AD61C33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40</xdr:row>
          <xdr:rowOff>19050</xdr:rowOff>
        </xdr:from>
        <xdr:to>
          <xdr:col>6</xdr:col>
          <xdr:colOff>47625</xdr:colOff>
          <xdr:row>40</xdr:row>
          <xdr:rowOff>247650</xdr:rowOff>
        </xdr:to>
        <xdr:sp macro="" textlink="">
          <xdr:nvSpPr>
            <xdr:cNvPr id="53259" name="Check Box 11" hidden="1">
              <a:extLst>
                <a:ext uri="{63B3BB69-23CF-44E3-9099-C40C66FF867C}">
                  <a14:compatExt spid="_x0000_s53259"/>
                </a:ext>
                <a:ext uri="{FF2B5EF4-FFF2-40B4-BE49-F238E27FC236}">
                  <a16:creationId xmlns:a16="http://schemas.microsoft.com/office/drawing/2014/main" id="{4F1341AC-5EF6-94A9-ADEE-9EFDCF5F2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41</xdr:row>
          <xdr:rowOff>19050</xdr:rowOff>
        </xdr:from>
        <xdr:to>
          <xdr:col>6</xdr:col>
          <xdr:colOff>47625</xdr:colOff>
          <xdr:row>41</xdr:row>
          <xdr:rowOff>247650</xdr:rowOff>
        </xdr:to>
        <xdr:sp macro="" textlink="">
          <xdr:nvSpPr>
            <xdr:cNvPr id="53260" name="Check Box 12" hidden="1">
              <a:extLst>
                <a:ext uri="{63B3BB69-23CF-44E3-9099-C40C66FF867C}">
                  <a14:compatExt spid="_x0000_s53260"/>
                </a:ext>
                <a:ext uri="{FF2B5EF4-FFF2-40B4-BE49-F238E27FC236}">
                  <a16:creationId xmlns:a16="http://schemas.microsoft.com/office/drawing/2014/main" id="{3CD13398-B372-307C-D046-B64EBE0DF8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42</xdr:row>
          <xdr:rowOff>142875</xdr:rowOff>
        </xdr:from>
        <xdr:to>
          <xdr:col>6</xdr:col>
          <xdr:colOff>47625</xdr:colOff>
          <xdr:row>43</xdr:row>
          <xdr:rowOff>114300</xdr:rowOff>
        </xdr:to>
        <xdr:sp macro="" textlink="">
          <xdr:nvSpPr>
            <xdr:cNvPr id="53261" name="Check Box 13" hidden="1">
              <a:extLst>
                <a:ext uri="{63B3BB69-23CF-44E3-9099-C40C66FF867C}">
                  <a14:compatExt spid="_x0000_s53261"/>
                </a:ext>
                <a:ext uri="{FF2B5EF4-FFF2-40B4-BE49-F238E27FC236}">
                  <a16:creationId xmlns:a16="http://schemas.microsoft.com/office/drawing/2014/main" id="{89F47AAF-E9C1-928F-DECB-8F80042ED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46</xdr:row>
          <xdr:rowOff>19050</xdr:rowOff>
        </xdr:from>
        <xdr:to>
          <xdr:col>6</xdr:col>
          <xdr:colOff>47625</xdr:colOff>
          <xdr:row>46</xdr:row>
          <xdr:rowOff>247650</xdr:rowOff>
        </xdr:to>
        <xdr:sp macro="" textlink="">
          <xdr:nvSpPr>
            <xdr:cNvPr id="53262" name="Check Box 14" hidden="1">
              <a:extLst>
                <a:ext uri="{63B3BB69-23CF-44E3-9099-C40C66FF867C}">
                  <a14:compatExt spid="_x0000_s53262"/>
                </a:ext>
                <a:ext uri="{FF2B5EF4-FFF2-40B4-BE49-F238E27FC236}">
                  <a16:creationId xmlns:a16="http://schemas.microsoft.com/office/drawing/2014/main" id="{14394CB7-9823-46D2-70BB-1B7910997F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Leelawadee"/>
                  <a:cs typeface="Leelawadee"/>
                </a:rPr>
                <a:t>ประเมิน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2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Relationship Id="rId4" Type="http://schemas.openxmlformats.org/officeDocument/2006/relationships/ctrlProp" Target="../ctrlProps/ctrlProp24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omments" Target="../comments1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17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omments" Target="../comments1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10" Type="http://schemas.openxmlformats.org/officeDocument/2006/relationships/ctrlProp" Target="../ctrlProps/ctrlProp6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76"/>
  <sheetViews>
    <sheetView showGridLines="0" tabSelected="1" topLeftCell="B1" zoomScale="115" zoomScaleNormal="115" zoomScaleSheetLayoutView="100" workbookViewId="0">
      <selection activeCell="E10" sqref="E10"/>
    </sheetView>
  </sheetViews>
  <sheetFormatPr defaultRowHeight="24" x14ac:dyDescent="0.55000000000000004"/>
  <cols>
    <col min="1" max="1" width="6.5" style="272" customWidth="1"/>
    <col min="2" max="2" width="9.625" style="272" customWidth="1"/>
    <col min="3" max="3" width="9.75" style="272" customWidth="1"/>
    <col min="4" max="4" width="8" style="272" customWidth="1"/>
    <col min="5" max="5" width="18.75" style="272" customWidth="1"/>
    <col min="6" max="6" width="20.875" style="272" bestFit="1" customWidth="1"/>
    <col min="7" max="7" width="31.875" style="272" customWidth="1"/>
    <col min="8" max="8" width="0.875" style="359" customWidth="1"/>
    <col min="9" max="9" width="66.5" style="387" customWidth="1"/>
    <col min="10" max="10" width="9" style="359"/>
    <col min="11" max="11" width="6.75" style="272" customWidth="1"/>
    <col min="12" max="12" width="26.375" style="272" customWidth="1"/>
    <col min="13" max="13" width="1.875" style="272" hidden="1" customWidth="1"/>
    <col min="14" max="15" width="14.125" style="272" hidden="1" customWidth="1"/>
    <col min="16" max="17" width="14" style="272" hidden="1" customWidth="1"/>
    <col min="18" max="18" width="21" style="272" hidden="1" customWidth="1"/>
    <col min="19" max="19" width="26.125" style="272" hidden="1" customWidth="1"/>
    <col min="20" max="20" width="20.75" style="272" hidden="1" customWidth="1"/>
    <col min="21" max="21" width="20.375" style="272" hidden="1" customWidth="1"/>
    <col min="22" max="23" width="6.75" style="272" customWidth="1"/>
    <col min="24" max="16384" width="9" style="272"/>
  </cols>
  <sheetData>
    <row r="1" spans="1:21" ht="30" x14ac:dyDescent="0.65">
      <c r="A1" s="430" t="s">
        <v>243</v>
      </c>
      <c r="B1" s="430"/>
      <c r="C1" s="430"/>
      <c r="D1" s="430"/>
      <c r="E1" s="430"/>
      <c r="F1" s="430"/>
      <c r="G1" s="430"/>
      <c r="H1" s="357"/>
      <c r="I1" s="358"/>
    </row>
    <row r="2" spans="1:21" x14ac:dyDescent="0.55000000000000004">
      <c r="A2" s="272" t="s">
        <v>37</v>
      </c>
      <c r="C2" s="431" t="s">
        <v>92</v>
      </c>
      <c r="D2" s="432"/>
      <c r="E2" s="433"/>
      <c r="I2" s="360" t="s">
        <v>363</v>
      </c>
      <c r="J2" s="361" t="s">
        <v>244</v>
      </c>
    </row>
    <row r="3" spans="1:21" x14ac:dyDescent="0.55000000000000004">
      <c r="A3" s="272" t="s">
        <v>36</v>
      </c>
      <c r="C3" s="439" t="s">
        <v>93</v>
      </c>
      <c r="D3" s="439"/>
      <c r="E3" s="439"/>
      <c r="F3" s="439"/>
      <c r="G3" s="362"/>
      <c r="H3" s="363"/>
      <c r="I3" s="364" t="s">
        <v>3</v>
      </c>
      <c r="J3" s="359" t="s">
        <v>245</v>
      </c>
    </row>
    <row r="4" spans="1:21" x14ac:dyDescent="0.55000000000000004">
      <c r="A4" s="272" t="s">
        <v>287</v>
      </c>
      <c r="C4" s="439" t="s">
        <v>288</v>
      </c>
      <c r="D4" s="439"/>
      <c r="E4" s="439"/>
      <c r="F4" s="439"/>
      <c r="G4" s="362"/>
      <c r="H4" s="363"/>
      <c r="I4" s="365" t="s">
        <v>4</v>
      </c>
      <c r="J4" s="359" t="s">
        <v>246</v>
      </c>
    </row>
    <row r="5" spans="1:21" x14ac:dyDescent="0.55000000000000004">
      <c r="A5" s="272" t="s">
        <v>311</v>
      </c>
      <c r="C5" s="436" t="s">
        <v>289</v>
      </c>
      <c r="D5" s="437"/>
      <c r="E5" s="438"/>
      <c r="I5" s="364" t="s">
        <v>90</v>
      </c>
    </row>
    <row r="6" spans="1:21" x14ac:dyDescent="0.55000000000000004">
      <c r="A6" s="272" t="s">
        <v>193</v>
      </c>
      <c r="C6" s="427" t="s">
        <v>195</v>
      </c>
      <c r="D6" s="427"/>
      <c r="E6" s="427"/>
      <c r="I6" s="365" t="s">
        <v>347</v>
      </c>
    </row>
    <row r="7" spans="1:21" x14ac:dyDescent="0.55000000000000004">
      <c r="A7" s="272" t="s">
        <v>194</v>
      </c>
      <c r="C7" s="427" t="s">
        <v>196</v>
      </c>
      <c r="D7" s="427"/>
      <c r="E7" s="427"/>
      <c r="F7" s="418" t="s">
        <v>480</v>
      </c>
      <c r="G7" s="419" t="s">
        <v>479</v>
      </c>
      <c r="I7" s="365" t="s">
        <v>348</v>
      </c>
    </row>
    <row r="8" spans="1:21" x14ac:dyDescent="0.55000000000000004">
      <c r="A8" s="272" t="s">
        <v>38</v>
      </c>
      <c r="C8" s="434" t="s">
        <v>170</v>
      </c>
      <c r="D8" s="434"/>
      <c r="E8" s="366"/>
      <c r="I8" s="365" t="s">
        <v>207</v>
      </c>
      <c r="J8" s="367" t="s">
        <v>247</v>
      </c>
      <c r="K8" s="368"/>
      <c r="L8" s="368"/>
      <c r="M8" s="272">
        <f>IF(ระดับ=N8,1,IF(ระดับ=O8,2,IF(ระดับ=P8,3,IF(ระดับ=Q8,4,IF(ระดับ=R8,5,IF(ระดับ=S8,6))))))</f>
        <v>2</v>
      </c>
      <c r="N8" s="272" t="s">
        <v>169</v>
      </c>
      <c r="O8" s="272" t="s">
        <v>170</v>
      </c>
      <c r="P8" s="272" t="s">
        <v>171</v>
      </c>
      <c r="Q8" s="272" t="s">
        <v>172</v>
      </c>
      <c r="R8" s="272" t="s">
        <v>173</v>
      </c>
      <c r="S8" s="272" t="s">
        <v>174</v>
      </c>
    </row>
    <row r="9" spans="1:21" x14ac:dyDescent="0.55000000000000004">
      <c r="A9" s="272" t="s">
        <v>175</v>
      </c>
      <c r="C9" s="435">
        <v>2560</v>
      </c>
      <c r="D9" s="435"/>
      <c r="E9" s="426" t="s">
        <v>487</v>
      </c>
      <c r="I9" s="365" t="s">
        <v>208</v>
      </c>
      <c r="J9" s="368" t="s">
        <v>343</v>
      </c>
      <c r="K9" s="368"/>
      <c r="L9" s="368"/>
      <c r="N9" s="272">
        <v>2559</v>
      </c>
      <c r="O9" s="272">
        <v>2560</v>
      </c>
      <c r="P9" s="272">
        <v>2561</v>
      </c>
      <c r="Q9" s="272">
        <v>2562</v>
      </c>
      <c r="R9" s="272">
        <v>2563</v>
      </c>
      <c r="S9" s="272">
        <v>2564</v>
      </c>
      <c r="T9" s="272">
        <v>2565</v>
      </c>
      <c r="U9" s="272" t="s">
        <v>486</v>
      </c>
    </row>
    <row r="10" spans="1:21" x14ac:dyDescent="0.55000000000000004">
      <c r="A10" s="272" t="s">
        <v>192</v>
      </c>
      <c r="C10" s="441">
        <v>2563</v>
      </c>
      <c r="D10" s="442"/>
      <c r="E10" s="366"/>
      <c r="I10" s="364" t="s">
        <v>107</v>
      </c>
      <c r="J10" s="369" t="s">
        <v>341</v>
      </c>
      <c r="K10" s="368"/>
      <c r="L10" s="368"/>
      <c r="U10" s="272" t="s">
        <v>487</v>
      </c>
    </row>
    <row r="11" spans="1:21" x14ac:dyDescent="0.55000000000000004">
      <c r="A11" s="272" t="s">
        <v>51</v>
      </c>
      <c r="D11" s="370">
        <f>COUNTA(D13:E32)</f>
        <v>2</v>
      </c>
      <c r="E11" s="272" t="s">
        <v>52</v>
      </c>
      <c r="I11" s="365" t="s">
        <v>349</v>
      </c>
      <c r="J11" s="369" t="s">
        <v>248</v>
      </c>
      <c r="K11" s="368"/>
      <c r="L11" s="368"/>
      <c r="P11" s="272" t="s">
        <v>39</v>
      </c>
      <c r="Q11" s="272" t="s">
        <v>40</v>
      </c>
      <c r="R11" s="272" t="s">
        <v>41</v>
      </c>
    </row>
    <row r="12" spans="1:21" x14ac:dyDescent="0.55000000000000004">
      <c r="A12" s="371" t="s">
        <v>42</v>
      </c>
      <c r="B12" s="372" t="s">
        <v>43</v>
      </c>
      <c r="C12" s="372" t="s">
        <v>74</v>
      </c>
      <c r="D12" s="440" t="s">
        <v>44</v>
      </c>
      <c r="E12" s="440"/>
      <c r="F12" s="372" t="s">
        <v>418</v>
      </c>
      <c r="G12" s="372" t="s">
        <v>275</v>
      </c>
      <c r="H12" s="373"/>
      <c r="I12" s="374" t="s">
        <v>350</v>
      </c>
      <c r="J12" s="369" t="s">
        <v>342</v>
      </c>
      <c r="K12" s="368"/>
      <c r="L12" s="368"/>
      <c r="P12" s="272" t="s">
        <v>45</v>
      </c>
      <c r="Q12" s="272" t="s">
        <v>46</v>
      </c>
    </row>
    <row r="13" spans="1:21" x14ac:dyDescent="0.55000000000000004">
      <c r="A13" s="375">
        <v>1</v>
      </c>
      <c r="B13" s="376" t="s">
        <v>39</v>
      </c>
      <c r="C13" s="376"/>
      <c r="D13" s="428" t="s">
        <v>441</v>
      </c>
      <c r="E13" s="429"/>
      <c r="F13" s="377" t="s">
        <v>419</v>
      </c>
      <c r="G13" s="378" t="str">
        <f>B13&amp;C13&amp;D13</f>
        <v>ผศ.ชื่อ-สกุล ไม่ใส่คำนำหน้า</v>
      </c>
      <c r="H13" s="379"/>
      <c r="I13" s="374" t="s">
        <v>400</v>
      </c>
      <c r="J13" s="380" t="s">
        <v>249</v>
      </c>
      <c r="K13" s="368"/>
      <c r="L13" s="368"/>
    </row>
    <row r="14" spans="1:21" x14ac:dyDescent="0.55000000000000004">
      <c r="A14" s="375">
        <v>2</v>
      </c>
      <c r="B14" s="376"/>
      <c r="C14" s="376" t="s">
        <v>45</v>
      </c>
      <c r="D14" s="428" t="s">
        <v>441</v>
      </c>
      <c r="E14" s="429"/>
      <c r="F14" s="377" t="s">
        <v>419</v>
      </c>
      <c r="G14" s="378" t="str">
        <f t="shared" ref="G14:G22" si="0">B14&amp;C14&amp;D14</f>
        <v>อาจารย์ชื่อ-สกุล ไม่ใส่คำนำหน้า</v>
      </c>
      <c r="H14" s="379"/>
      <c r="I14" s="381" t="s">
        <v>214</v>
      </c>
      <c r="J14" s="368" t="s">
        <v>466</v>
      </c>
      <c r="K14" s="368"/>
      <c r="L14" s="390"/>
    </row>
    <row r="15" spans="1:21" x14ac:dyDescent="0.55000000000000004">
      <c r="A15" s="375">
        <v>3</v>
      </c>
      <c r="B15" s="376"/>
      <c r="C15" s="376"/>
      <c r="D15" s="428"/>
      <c r="E15" s="429"/>
      <c r="F15" s="377" t="s">
        <v>419</v>
      </c>
      <c r="G15" s="378" t="str">
        <f t="shared" si="0"/>
        <v/>
      </c>
      <c r="H15" s="379"/>
      <c r="I15" s="374" t="s">
        <v>351</v>
      </c>
      <c r="J15" s="391">
        <v>87654321</v>
      </c>
    </row>
    <row r="16" spans="1:21" x14ac:dyDescent="0.55000000000000004">
      <c r="A16" s="375">
        <v>4</v>
      </c>
      <c r="B16" s="376"/>
      <c r="C16" s="376"/>
      <c r="D16" s="428"/>
      <c r="E16" s="429"/>
      <c r="F16" s="377" t="s">
        <v>420</v>
      </c>
      <c r="G16" s="378" t="str">
        <f t="shared" si="0"/>
        <v/>
      </c>
      <c r="H16" s="379"/>
      <c r="I16" s="374" t="s">
        <v>352</v>
      </c>
    </row>
    <row r="17" spans="1:15" x14ac:dyDescent="0.55000000000000004">
      <c r="A17" s="375">
        <v>5</v>
      </c>
      <c r="B17" s="376"/>
      <c r="C17" s="376"/>
      <c r="D17" s="428"/>
      <c r="E17" s="429"/>
      <c r="F17" s="377" t="s">
        <v>420</v>
      </c>
      <c r="G17" s="378" t="str">
        <f t="shared" si="0"/>
        <v/>
      </c>
      <c r="H17" s="379"/>
      <c r="I17" s="374" t="s">
        <v>354</v>
      </c>
    </row>
    <row r="18" spans="1:15" x14ac:dyDescent="0.55000000000000004">
      <c r="A18" s="375">
        <v>6</v>
      </c>
      <c r="B18" s="376"/>
      <c r="C18" s="376"/>
      <c r="D18" s="428"/>
      <c r="E18" s="429"/>
      <c r="F18" s="377" t="s">
        <v>422</v>
      </c>
      <c r="G18" s="378" t="str">
        <f t="shared" si="0"/>
        <v/>
      </c>
      <c r="H18" s="379"/>
      <c r="I18" s="374" t="s">
        <v>353</v>
      </c>
    </row>
    <row r="19" spans="1:15" x14ac:dyDescent="0.55000000000000004">
      <c r="A19" s="375">
        <v>7</v>
      </c>
      <c r="B19" s="376"/>
      <c r="C19" s="376"/>
      <c r="D19" s="428"/>
      <c r="E19" s="429"/>
      <c r="F19" s="377" t="s">
        <v>422</v>
      </c>
      <c r="G19" s="378" t="str">
        <f t="shared" si="0"/>
        <v/>
      </c>
      <c r="H19" s="379"/>
      <c r="I19" s="381" t="s">
        <v>355</v>
      </c>
    </row>
    <row r="20" spans="1:15" x14ac:dyDescent="0.55000000000000004">
      <c r="A20" s="375">
        <v>8</v>
      </c>
      <c r="B20" s="376"/>
      <c r="C20" s="376"/>
      <c r="D20" s="428"/>
      <c r="E20" s="429"/>
      <c r="F20" s="377" t="s">
        <v>422</v>
      </c>
      <c r="G20" s="378" t="str">
        <f t="shared" si="0"/>
        <v/>
      </c>
      <c r="H20" s="379"/>
      <c r="I20" s="382" t="s">
        <v>357</v>
      </c>
    </row>
    <row r="21" spans="1:15" x14ac:dyDescent="0.55000000000000004">
      <c r="A21" s="375">
        <v>9</v>
      </c>
      <c r="B21" s="376"/>
      <c r="C21" s="376"/>
      <c r="D21" s="428"/>
      <c r="E21" s="429"/>
      <c r="F21" s="377" t="s">
        <v>422</v>
      </c>
      <c r="G21" s="378" t="str">
        <f t="shared" si="0"/>
        <v/>
      </c>
      <c r="H21" s="379"/>
      <c r="I21" s="383" t="s">
        <v>356</v>
      </c>
    </row>
    <row r="22" spans="1:15" x14ac:dyDescent="0.55000000000000004">
      <c r="A22" s="375">
        <v>10</v>
      </c>
      <c r="B22" s="376"/>
      <c r="C22" s="376"/>
      <c r="D22" s="428"/>
      <c r="E22" s="429"/>
      <c r="F22" s="377" t="s">
        <v>422</v>
      </c>
      <c r="G22" s="378" t="str">
        <f t="shared" si="0"/>
        <v/>
      </c>
      <c r="H22" s="379"/>
      <c r="I22" s="382" t="s">
        <v>358</v>
      </c>
    </row>
    <row r="23" spans="1:15" x14ac:dyDescent="0.55000000000000004">
      <c r="A23" s="375">
        <v>11</v>
      </c>
      <c r="B23" s="389"/>
      <c r="C23" s="389"/>
      <c r="D23" s="428"/>
      <c r="E23" s="429"/>
      <c r="F23" s="377" t="s">
        <v>422</v>
      </c>
      <c r="G23" s="378" t="str">
        <f t="shared" ref="G23:G32" si="1">B23&amp;C23&amp;D23</f>
        <v/>
      </c>
      <c r="I23" s="384" t="s">
        <v>359</v>
      </c>
    </row>
    <row r="24" spans="1:15" x14ac:dyDescent="0.55000000000000004">
      <c r="A24" s="375">
        <v>12</v>
      </c>
      <c r="B24" s="389"/>
      <c r="C24" s="389"/>
      <c r="D24" s="428"/>
      <c r="E24" s="429"/>
      <c r="F24" s="377" t="s">
        <v>422</v>
      </c>
      <c r="G24" s="378" t="str">
        <f t="shared" si="1"/>
        <v/>
      </c>
      <c r="I24" s="386" t="s">
        <v>145</v>
      </c>
    </row>
    <row r="25" spans="1:15" x14ac:dyDescent="0.55000000000000004">
      <c r="A25" s="375">
        <v>13</v>
      </c>
      <c r="B25" s="389"/>
      <c r="C25" s="389"/>
      <c r="D25" s="428"/>
      <c r="E25" s="429"/>
      <c r="F25" s="377" t="s">
        <v>422</v>
      </c>
      <c r="G25" s="378" t="str">
        <f t="shared" si="1"/>
        <v/>
      </c>
      <c r="I25" s="382" t="s">
        <v>360</v>
      </c>
      <c r="N25" s="272" t="s">
        <v>406</v>
      </c>
      <c r="O25" s="272">
        <v>1</v>
      </c>
    </row>
    <row r="26" spans="1:15" x14ac:dyDescent="0.55000000000000004">
      <c r="A26" s="375">
        <v>14</v>
      </c>
      <c r="B26" s="389"/>
      <c r="C26" s="389"/>
      <c r="D26" s="428"/>
      <c r="E26" s="429"/>
      <c r="F26" s="377" t="s">
        <v>422</v>
      </c>
      <c r="G26" s="378" t="str">
        <f t="shared" si="1"/>
        <v/>
      </c>
      <c r="I26" s="374" t="s">
        <v>361</v>
      </c>
      <c r="N26" s="272" t="s">
        <v>407</v>
      </c>
      <c r="O26" s="272">
        <v>2</v>
      </c>
    </row>
    <row r="27" spans="1:15" x14ac:dyDescent="0.55000000000000004">
      <c r="A27" s="375">
        <v>15</v>
      </c>
      <c r="B27" s="389"/>
      <c r="C27" s="389"/>
      <c r="D27" s="428"/>
      <c r="E27" s="429"/>
      <c r="F27" s="377" t="s">
        <v>422</v>
      </c>
      <c r="G27" s="378" t="str">
        <f t="shared" si="1"/>
        <v/>
      </c>
      <c r="I27" s="374" t="s">
        <v>362</v>
      </c>
      <c r="N27" s="272" t="s">
        <v>461</v>
      </c>
      <c r="O27" s="272">
        <v>3</v>
      </c>
    </row>
    <row r="28" spans="1:15" x14ac:dyDescent="0.55000000000000004">
      <c r="A28" s="375">
        <v>16</v>
      </c>
      <c r="B28" s="389"/>
      <c r="C28" s="389"/>
      <c r="D28" s="428"/>
      <c r="E28" s="429"/>
      <c r="F28" s="377" t="s">
        <v>422</v>
      </c>
      <c r="G28" s="378" t="str">
        <f t="shared" si="1"/>
        <v/>
      </c>
      <c r="N28" s="272" t="s">
        <v>483</v>
      </c>
      <c r="O28" s="272">
        <v>4</v>
      </c>
    </row>
    <row r="29" spans="1:15" x14ac:dyDescent="0.55000000000000004">
      <c r="A29" s="375">
        <v>17</v>
      </c>
      <c r="B29" s="389"/>
      <c r="C29" s="389"/>
      <c r="D29" s="428"/>
      <c r="E29" s="429"/>
      <c r="F29" s="377" t="s">
        <v>422</v>
      </c>
      <c r="G29" s="378" t="str">
        <f t="shared" si="1"/>
        <v/>
      </c>
      <c r="N29" s="272" t="s">
        <v>484</v>
      </c>
      <c r="O29" s="272">
        <v>5</v>
      </c>
    </row>
    <row r="30" spans="1:15" x14ac:dyDescent="0.55000000000000004">
      <c r="A30" s="375">
        <v>18</v>
      </c>
      <c r="B30" s="389"/>
      <c r="C30" s="389"/>
      <c r="D30" s="428"/>
      <c r="E30" s="429"/>
      <c r="F30" s="377" t="s">
        <v>422</v>
      </c>
      <c r="G30" s="378" t="str">
        <f t="shared" si="1"/>
        <v/>
      </c>
      <c r="N30" s="272" t="s">
        <v>485</v>
      </c>
      <c r="O30" s="272">
        <v>6</v>
      </c>
    </row>
    <row r="31" spans="1:15" x14ac:dyDescent="0.55000000000000004">
      <c r="A31" s="375">
        <v>19</v>
      </c>
      <c r="B31" s="389"/>
      <c r="C31" s="389"/>
      <c r="D31" s="428"/>
      <c r="E31" s="429"/>
      <c r="F31" s="377" t="s">
        <v>422</v>
      </c>
      <c r="G31" s="378" t="str">
        <f t="shared" si="1"/>
        <v/>
      </c>
    </row>
    <row r="32" spans="1:15" x14ac:dyDescent="0.55000000000000004">
      <c r="A32" s="375">
        <v>20</v>
      </c>
      <c r="B32" s="389"/>
      <c r="C32" s="389"/>
      <c r="D32" s="428"/>
      <c r="E32" s="429"/>
      <c r="F32" s="377" t="s">
        <v>422</v>
      </c>
      <c r="G32" s="378" t="str">
        <f t="shared" si="1"/>
        <v/>
      </c>
    </row>
    <row r="33" spans="1:6" x14ac:dyDescent="0.55000000000000004">
      <c r="A33" s="278" t="s">
        <v>405</v>
      </c>
    </row>
    <row r="34" spans="1:6" x14ac:dyDescent="0.55000000000000004">
      <c r="A34" s="385" t="s">
        <v>428</v>
      </c>
      <c r="B34" s="439" t="s">
        <v>464</v>
      </c>
      <c r="C34" s="439"/>
      <c r="D34" s="439"/>
      <c r="E34" s="439"/>
      <c r="F34" s="272" t="s">
        <v>406</v>
      </c>
    </row>
    <row r="35" spans="1:6" x14ac:dyDescent="0.55000000000000004">
      <c r="A35" s="385" t="s">
        <v>429</v>
      </c>
      <c r="B35" s="439" t="s">
        <v>465</v>
      </c>
      <c r="C35" s="439"/>
      <c r="D35" s="439"/>
      <c r="E35" s="439"/>
      <c r="F35" s="272" t="s">
        <v>407</v>
      </c>
    </row>
    <row r="36" spans="1:6" x14ac:dyDescent="0.55000000000000004">
      <c r="A36" s="385" t="s">
        <v>430</v>
      </c>
      <c r="B36" s="439" t="s">
        <v>465</v>
      </c>
      <c r="C36" s="439"/>
      <c r="D36" s="439"/>
      <c r="E36" s="439"/>
      <c r="F36" s="272" t="s">
        <v>461</v>
      </c>
    </row>
    <row r="37" spans="1:6" x14ac:dyDescent="0.55000000000000004">
      <c r="A37" s="385" t="s">
        <v>431</v>
      </c>
      <c r="B37" s="439"/>
      <c r="C37" s="439"/>
      <c r="D37" s="439"/>
      <c r="E37" s="439"/>
      <c r="F37" s="272" t="s">
        <v>485</v>
      </c>
    </row>
    <row r="38" spans="1:6" x14ac:dyDescent="0.55000000000000004">
      <c r="A38" s="385" t="s">
        <v>432</v>
      </c>
      <c r="B38" s="439"/>
      <c r="C38" s="439"/>
      <c r="D38" s="439"/>
      <c r="E38" s="439"/>
      <c r="F38" s="272" t="s">
        <v>485</v>
      </c>
    </row>
    <row r="39" spans="1:6" x14ac:dyDescent="0.55000000000000004">
      <c r="B39" s="388"/>
      <c r="C39" s="388"/>
      <c r="D39" s="388"/>
      <c r="E39" s="388"/>
    </row>
    <row r="76" spans="6:6" x14ac:dyDescent="0.55000000000000004">
      <c r="F76" s="272">
        <f>COUNTIF(ข้อมูลพื้นฐาน!B13:B22,"อาจารย์")</f>
        <v>0</v>
      </c>
    </row>
  </sheetData>
  <sheetProtection formatCells="0" formatRows="0" insertRows="0" deleteRows="0"/>
  <mergeCells count="36">
    <mergeCell ref="B36:E36"/>
    <mergeCell ref="B37:E37"/>
    <mergeCell ref="D12:E12"/>
    <mergeCell ref="C10:D10"/>
    <mergeCell ref="D23:E23"/>
    <mergeCell ref="D13:E13"/>
    <mergeCell ref="D14:E14"/>
    <mergeCell ref="D15:E15"/>
    <mergeCell ref="D16:E16"/>
    <mergeCell ref="D17:E17"/>
    <mergeCell ref="D28:E28"/>
    <mergeCell ref="D29:E29"/>
    <mergeCell ref="B38:E38"/>
    <mergeCell ref="D18:E18"/>
    <mergeCell ref="D19:E19"/>
    <mergeCell ref="D20:E20"/>
    <mergeCell ref="D21:E21"/>
    <mergeCell ref="D22:E22"/>
    <mergeCell ref="B34:E34"/>
    <mergeCell ref="B35:E35"/>
    <mergeCell ref="C3:F3"/>
    <mergeCell ref="C4:F4"/>
    <mergeCell ref="D24:E24"/>
    <mergeCell ref="D25:E25"/>
    <mergeCell ref="D26:E26"/>
    <mergeCell ref="D27:E27"/>
    <mergeCell ref="C6:E6"/>
    <mergeCell ref="C7:E7"/>
    <mergeCell ref="D30:E30"/>
    <mergeCell ref="D31:E31"/>
    <mergeCell ref="D32:E32"/>
    <mergeCell ref="A1:G1"/>
    <mergeCell ref="C2:E2"/>
    <mergeCell ref="C8:D8"/>
    <mergeCell ref="C9:D9"/>
    <mergeCell ref="C5:E5"/>
  </mergeCells>
  <dataValidations count="8">
    <dataValidation type="list" allowBlank="1" showInputMessage="1" showErrorMessage="1" sqref="B13:B32">
      <formula1>$N$11:$R$11</formula1>
    </dataValidation>
    <dataValidation type="list" allowBlank="1" showInputMessage="1" showErrorMessage="1" sqref="C8:D8">
      <formula1>$N$8:$S$8</formula1>
    </dataValidation>
    <dataValidation type="list" allowBlank="1" showInputMessage="1" showErrorMessage="1" sqref="C9:C10 D9">
      <formula1>$N$9:$T$9</formula1>
    </dataValidation>
    <dataValidation type="list" allowBlank="1" showInputMessage="1" showErrorMessage="1" sqref="C13:C32">
      <formula1>$N$12:$Q$12</formula1>
    </dataValidation>
    <dataValidation type="list" allowBlank="1" showInputMessage="1" showErrorMessage="1" sqref="F13:F32">
      <formula1>"-,อาจารย์ผู้รับผิดชอบหลักสูตร,อาจารย์ประจำหลักสูตร,อาจารย์ประจำ,อาจารย์ผู้สอน"</formula1>
    </dataValidation>
    <dataValidation type="list" allowBlank="1" showInputMessage="1" showErrorMessage="1" sqref="G7">
      <formula1>"มหาวิทยาลัยทั่วไป,วิทยาลัยพยาบาล"</formula1>
    </dataValidation>
    <dataValidation type="list" allowBlank="1" showInputMessage="1" showErrorMessage="1" sqref="F34:F38">
      <formula1>$N$25:$N$30</formula1>
    </dataValidation>
    <dataValidation type="list" allowBlank="1" showInputMessage="1" showErrorMessage="1" sqref="E9">
      <formula1>$U$9:$U$10</formula1>
    </dataValidation>
  </dataValidations>
  <hyperlinks>
    <hyperlink ref="I4" location="'หมวด1-1.1'!A1" display="ตัวบ่งชี้ที่ 1.1 การบริหารจัดการหลักสูตรตามเกณฑ์มาตรฐานหลักสูตรที่กำหนดโดย สกอ."/>
    <hyperlink ref="I6" location="'หมวด3-2.1'!A1" display="ตัวบ่งชี้ที่ 2.1 คุณภาพบัณฑิตตามกรอบมาตรฐานคุณวุฒิระดับอุดมศึกษาแห่งชาติ"/>
    <hyperlink ref="I7" location="'หมวด3-2.2(ตรี)'!A1" display="ตัวบ่งชี้ที่ 2.2 ร้อยละบัณฑิตปริญญาตรีที่ได้งานทำ หรือประกอบอาชีพอิสระภายใน 1 ปี"/>
    <hyperlink ref="I8" location="'หมวด3-2.2(โท)'!A1" display="ตัวบ่งชี้ที่ 2.2 (ปริญญาโท) ผลงานของนักศึกษาและผู้สำเร็จการศึกษาในระดับปริญญาโทที่ได้รับการตีพิมพ์เผยแพร่"/>
    <hyperlink ref="I9" location="'หมวด3-2.2(เอก)'!A1" display="ตัวบ่งชี้ที่ 2.2 (ปริญญาเอก) ผลงานของนักศึกษาและผู้สำเร็จการศึกษาในระดับปริญญาเอกที่ได้รับการตีพิมพ์เผยแพร่"/>
    <hyperlink ref="I11" location="'หมวด3-3.1'!A1" display="ตัวบ่งชี้ที่ 3.1 การรับนักศึกษา"/>
    <hyperlink ref="I12" location="'หมวด3-3.2'!A1" display="ตัวบ่งชี้ที่ 3.2 การส่งเสริมและพัฒนานักศึกษา"/>
    <hyperlink ref="I13" location="'หมวด3-3.3'!A1" display="ตัวบ่งชี้ที่3.3 ผลที่เกิดกับนักศึกษา"/>
    <hyperlink ref="I15" location="'หมวด2-4.1'!A1" display="ตัวบ่งชี้ที่ 4.1 การบริหารและพัฒนาอาจารย์"/>
    <hyperlink ref="I16" location="'หมวด2-4.2'!A1" display="ตัวบ่งชี้ที่ 4.2 คุณภาพอาจารย์"/>
    <hyperlink ref="I17" location="'หมวด2-4.2(เอก)'!A1" display="ตัวบ่งชี้ที่ 4.2 คุณภาพอาจารย์ (ปริญญาเอก)"/>
    <hyperlink ref="I18" location="'หมวด2-4.3'!A1" display="ตัวบ่งชี้ที่ 4.3 ผลที่เกิดกับอาจารย์"/>
    <hyperlink ref="I20" location="'หมวด4-5.1'!A1" display="ตัวบ่งชี้ที่ 5.1 สาระของรายวิชาในหลักสูตร"/>
    <hyperlink ref="I21" location="'หมวด4-5.2'!A1" display="ตัวบ่งชี้ที่ 5.2 การวางระบบผู้สอนและกระบวน การเรียนการสอน"/>
    <hyperlink ref="I22" location="'หมวด4-5.3'!A1" display="ตัวบ่งชี้ที่ 5.3 การประเมินผู้เรียน"/>
    <hyperlink ref="I23" location="'หมวด4-5.4'!A1" display="ตัวบ่งชี้ที่ 5.4 ผลการดำเนินงานหลักสูตรตามกรอบมาตรฐานคุณวุฒิระดับอุดมศึกษาแห่งชาติ"/>
    <hyperlink ref="I25" location="'หมวด5-6.1'!A1" display="ตัวบ่งชี้ที่ 6.1 สิ่งสนับสนุนการเรียนรู้"/>
    <hyperlink ref="I26" location="ตารางสรุป!A1" display="ผลการประเมินรายตัวบ่งชี้ตามองค์ประกอบประกันคุณภาพ"/>
    <hyperlink ref="I27" location="ตารางวิเคราะห์!A1" display="ผลการวิเคราะห์คุณภาพการศึกษาภายในระดับหลักสูตร"/>
  </hyperlink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4" tint="0.79998168889431442"/>
  </sheetPr>
  <dimension ref="A1:AA45"/>
  <sheetViews>
    <sheetView showGridLines="0" zoomScale="115" zoomScaleNormal="115" zoomScaleSheetLayoutView="115" workbookViewId="0">
      <selection activeCell="B4" sqref="B4"/>
    </sheetView>
  </sheetViews>
  <sheetFormatPr defaultRowHeight="24" x14ac:dyDescent="0.55000000000000004"/>
  <cols>
    <col min="1" max="1" width="6.5" style="2" customWidth="1"/>
    <col min="2" max="10" width="3.625" style="2" customWidth="1"/>
    <col min="11" max="22" width="3.375" style="2" customWidth="1"/>
    <col min="23" max="23" width="20.875" style="2" bestFit="1" customWidth="1"/>
    <col min="24" max="25" width="9" style="2" hidden="1" customWidth="1"/>
    <col min="26" max="26" width="0" style="2" hidden="1" customWidth="1"/>
    <col min="27" max="27" width="17.375" style="2" customWidth="1"/>
    <col min="28" max="16384" width="9" style="2"/>
  </cols>
  <sheetData>
    <row r="1" spans="1:27" x14ac:dyDescent="0.55000000000000004">
      <c r="A1" s="89" t="s">
        <v>12</v>
      </c>
      <c r="B1" s="521" t="s">
        <v>23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3"/>
    </row>
    <row r="2" spans="1:27" x14ac:dyDescent="0.55000000000000004">
      <c r="A2" s="12">
        <v>4.2</v>
      </c>
      <c r="B2" s="579" t="str">
        <f>IF(OR(เกณฑ์=5,เกณฑ์=6),"คุณภาพอาจารย์","คุณภาพอาจารย์ - ประเมินเฉพาะหลักสูตรปริญญาเอกเท่านั้น")</f>
        <v>คุณภาพอาจารย์ - ประเมินเฉพาะหลักสูตรปริญญาเอกเท่านั้น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1"/>
      <c r="AA2" s="2" t="s">
        <v>425</v>
      </c>
    </row>
    <row r="3" spans="1:27" ht="42" customHeight="1" x14ac:dyDescent="0.55000000000000004">
      <c r="A3" s="17"/>
      <c r="B3" s="562" t="s">
        <v>77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4"/>
    </row>
    <row r="4" spans="1:27" x14ac:dyDescent="0.55000000000000004">
      <c r="A4" s="17"/>
      <c r="B4" s="13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81" t="s">
        <v>346</v>
      </c>
    </row>
    <row r="5" spans="1:27" ht="43.5" customHeight="1" x14ac:dyDescent="0.55000000000000004">
      <c r="A5" s="17"/>
      <c r="B5" s="524" t="str">
        <f>"บทความของอาจารย์ประจำหลักสูตรปริญญาเอกที่ได้รับการอ้างอิง ทั้งหมด จำนวน "&amp;K27+M27&amp;"  เรื่อง มีสัดส่วนเท่ากับ "&amp;K8&amp;" เทียบเป็นคะแนนเต็ม 5 เท่ากับ "&amp;K11&amp;" โดยแสดงวิธีการคำนวณ ดังนี้"</f>
        <v>บทความของอาจารย์ประจำหลักสูตรปริญญาเอกที่ได้รับการอ้างอิง ทั้งหมด จำนวน 0  เรื่อง มีสัดส่วนเท่ากับ 0 เทียบเป็นคะแนนเต็ม 5 เท่ากับ 0 โดยแสดงวิธีการคำนวณ ดังนี้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6"/>
      <c r="W5" s="183" t="s">
        <v>370</v>
      </c>
    </row>
    <row r="6" spans="1:27" x14ac:dyDescent="0.55000000000000004">
      <c r="A6" s="17"/>
      <c r="B6" s="13" t="s">
        <v>33</v>
      </c>
      <c r="C6" s="24"/>
      <c r="D6" s="24"/>
      <c r="E6" s="24"/>
      <c r="F6" s="24"/>
      <c r="G6" s="2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182" t="s">
        <v>366</v>
      </c>
    </row>
    <row r="7" spans="1:27" x14ac:dyDescent="0.55000000000000004">
      <c r="A7" s="17"/>
      <c r="B7" s="25" t="s">
        <v>78</v>
      </c>
      <c r="C7" s="24"/>
      <c r="D7" s="24"/>
      <c r="E7" s="24"/>
      <c r="F7" s="24"/>
      <c r="G7" s="2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7" x14ac:dyDescent="0.55000000000000004">
      <c r="A8" s="17"/>
      <c r="B8" s="18"/>
      <c r="C8" s="14"/>
      <c r="D8" s="14"/>
      <c r="E8" s="14"/>
      <c r="F8" s="24"/>
      <c r="G8" s="511">
        <f>O27</f>
        <v>0</v>
      </c>
      <c r="H8" s="511"/>
      <c r="I8" s="497" t="s">
        <v>83</v>
      </c>
      <c r="J8" s="497"/>
      <c r="K8" s="582">
        <f>ROUND(G8/G9,2)</f>
        <v>0</v>
      </c>
      <c r="L8" s="582"/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7" x14ac:dyDescent="0.55000000000000004">
      <c r="A9" s="17"/>
      <c r="B9" s="18"/>
      <c r="C9" s="14"/>
      <c r="D9" s="26"/>
      <c r="E9" s="26"/>
      <c r="F9" s="24"/>
      <c r="G9" s="497">
        <f>ข้อมูลพื้นฐาน!D11</f>
        <v>2</v>
      </c>
      <c r="H9" s="497"/>
      <c r="I9" s="497"/>
      <c r="J9" s="497"/>
      <c r="K9" s="582"/>
      <c r="L9" s="582"/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7" x14ac:dyDescent="0.55000000000000004">
      <c r="A10" s="17"/>
      <c r="B10" s="25" t="s">
        <v>84</v>
      </c>
      <c r="C10" s="24"/>
      <c r="D10" s="24"/>
      <c r="E10" s="24"/>
      <c r="F10" s="24"/>
      <c r="G10" s="24"/>
      <c r="H10" s="14"/>
      <c r="I10" s="14"/>
      <c r="J10" s="14"/>
      <c r="K10" s="14"/>
      <c r="L10" s="14"/>
      <c r="M10" s="14"/>
      <c r="N10" s="14"/>
      <c r="O10" s="35" t="s">
        <v>82</v>
      </c>
      <c r="P10" s="14"/>
      <c r="Q10" s="14"/>
      <c r="R10" s="14"/>
      <c r="S10" s="14"/>
      <c r="T10" s="14"/>
      <c r="U10" s="14"/>
      <c r="V10" s="15"/>
    </row>
    <row r="11" spans="1:27" x14ac:dyDescent="0.55000000000000004">
      <c r="A11" s="17"/>
      <c r="B11" s="18"/>
      <c r="C11" s="14"/>
      <c r="D11" s="14"/>
      <c r="E11" s="14"/>
      <c r="F11" s="24"/>
      <c r="G11" s="573">
        <f>K8</f>
        <v>0</v>
      </c>
      <c r="H11" s="573"/>
      <c r="I11" s="497" t="s">
        <v>56</v>
      </c>
      <c r="J11" s="497"/>
      <c r="K11" s="496">
        <f>IF(G11/G12*5&gt;5,5,ROUND(G11/G12*5,2))</f>
        <v>0</v>
      </c>
      <c r="L11" s="496"/>
      <c r="M11" s="496"/>
      <c r="N11" s="14"/>
      <c r="O11" s="575" t="s">
        <v>154</v>
      </c>
      <c r="P11" s="575"/>
      <c r="Q11" s="575"/>
      <c r="R11" s="575"/>
      <c r="S11" s="575"/>
      <c r="T11" s="575"/>
      <c r="U11" s="575"/>
      <c r="V11" s="576"/>
      <c r="Y11" s="2" t="s">
        <v>154</v>
      </c>
    </row>
    <row r="12" spans="1:27" x14ac:dyDescent="0.55000000000000004">
      <c r="A12" s="17"/>
      <c r="B12" s="18"/>
      <c r="C12" s="14"/>
      <c r="D12" s="26"/>
      <c r="E12" s="26"/>
      <c r="F12" s="24"/>
      <c r="G12" s="574">
        <f>IF(กลุ่มสาขาวิชา="กลุ่มสาขาวิชาวิทยาศาสตร์และเทคโนโลยี (2.5)",2.5,IF(กลุ่มสาขาวิชา="กลุ่มสาขาวิชาวิทยาศาสตร์สุขภาพ (3.0)",3,IF(กลุ่มสาขาวิชา="กลุ่มสาขาวิชามนุษยศาสตร์และสังคมศาสตร์ (0.25)",0.25,"กรุณาเลือกระดับ")))</f>
        <v>2.5</v>
      </c>
      <c r="H12" s="574"/>
      <c r="I12" s="497"/>
      <c r="J12" s="497"/>
      <c r="K12" s="496"/>
      <c r="L12" s="496"/>
      <c r="M12" s="496"/>
      <c r="N12" s="14"/>
      <c r="O12" s="14"/>
      <c r="P12" s="14"/>
      <c r="Q12" s="14"/>
      <c r="R12" s="14"/>
      <c r="S12" s="14"/>
      <c r="T12" s="14"/>
      <c r="U12" s="14"/>
      <c r="V12" s="15"/>
      <c r="Y12" s="2" t="s">
        <v>155</v>
      </c>
    </row>
    <row r="13" spans="1:27" x14ac:dyDescent="0.55000000000000004">
      <c r="A13" s="17"/>
      <c r="B13" s="13" t="s">
        <v>47</v>
      </c>
      <c r="C13" s="24"/>
      <c r="D13" s="24"/>
      <c r="E13" s="24"/>
      <c r="F13" s="24"/>
      <c r="G13" s="2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Y13" s="2" t="s">
        <v>156</v>
      </c>
    </row>
    <row r="14" spans="1:27" ht="40.5" customHeight="1" x14ac:dyDescent="0.55000000000000004">
      <c r="A14" s="17"/>
      <c r="B14" s="18"/>
      <c r="C14" s="559" t="s">
        <v>66</v>
      </c>
      <c r="D14" s="577"/>
      <c r="E14" s="577"/>
      <c r="F14" s="577"/>
      <c r="G14" s="577"/>
      <c r="H14" s="577"/>
      <c r="I14" s="577"/>
      <c r="J14" s="560"/>
      <c r="K14" s="565" t="s">
        <v>81</v>
      </c>
      <c r="L14" s="566"/>
      <c r="M14" s="566"/>
      <c r="N14" s="567"/>
      <c r="O14" s="559" t="s">
        <v>71</v>
      </c>
      <c r="P14" s="560"/>
      <c r="Q14" s="129"/>
      <c r="R14" s="129"/>
      <c r="S14" s="129"/>
      <c r="T14" s="129"/>
      <c r="U14" s="568"/>
      <c r="V14" s="569"/>
    </row>
    <row r="15" spans="1:27" x14ac:dyDescent="0.55000000000000004">
      <c r="A15" s="17"/>
      <c r="B15" s="18"/>
      <c r="C15" s="561"/>
      <c r="D15" s="578"/>
      <c r="E15" s="578"/>
      <c r="F15" s="578"/>
      <c r="G15" s="578"/>
      <c r="H15" s="578"/>
      <c r="I15" s="578"/>
      <c r="J15" s="486"/>
      <c r="K15" s="472" t="s">
        <v>79</v>
      </c>
      <c r="L15" s="472"/>
      <c r="M15" s="472" t="s">
        <v>80</v>
      </c>
      <c r="N15" s="472"/>
      <c r="O15" s="561"/>
      <c r="P15" s="486"/>
      <c r="Q15" s="129"/>
      <c r="R15" s="129"/>
      <c r="S15" s="129"/>
      <c r="T15" s="129"/>
      <c r="U15" s="97"/>
      <c r="V15" s="98"/>
    </row>
    <row r="16" spans="1:27" ht="21" customHeight="1" x14ac:dyDescent="0.55000000000000004">
      <c r="A16" s="17"/>
      <c r="B16" s="18"/>
      <c r="C16" s="570" t="s">
        <v>481</v>
      </c>
      <c r="D16" s="571"/>
      <c r="E16" s="571"/>
      <c r="F16" s="571"/>
      <c r="G16" s="571"/>
      <c r="H16" s="571"/>
      <c r="I16" s="571"/>
      <c r="J16" s="572"/>
      <c r="K16" s="547"/>
      <c r="L16" s="548"/>
      <c r="M16" s="547"/>
      <c r="N16" s="548"/>
      <c r="O16" s="549">
        <f>M16+K16</f>
        <v>0</v>
      </c>
      <c r="P16" s="549"/>
      <c r="Q16" s="97"/>
      <c r="R16" s="97"/>
      <c r="S16" s="97"/>
      <c r="T16" s="97"/>
      <c r="U16" s="551"/>
      <c r="V16" s="552"/>
    </row>
    <row r="17" spans="1:24" ht="21" customHeight="1" x14ac:dyDescent="0.55000000000000004">
      <c r="A17" s="17"/>
      <c r="B17" s="18"/>
      <c r="C17" s="570" t="s">
        <v>482</v>
      </c>
      <c r="D17" s="571"/>
      <c r="E17" s="571"/>
      <c r="F17" s="571"/>
      <c r="G17" s="571"/>
      <c r="H17" s="571"/>
      <c r="I17" s="571"/>
      <c r="J17" s="572"/>
      <c r="K17" s="547"/>
      <c r="L17" s="548"/>
      <c r="M17" s="547"/>
      <c r="N17" s="548"/>
      <c r="O17" s="549">
        <f t="shared" ref="O17:O26" si="0">M17+K17</f>
        <v>0</v>
      </c>
      <c r="P17" s="549"/>
      <c r="Q17" s="97"/>
      <c r="R17" s="97"/>
      <c r="S17" s="97"/>
      <c r="T17" s="97"/>
      <c r="U17" s="551"/>
      <c r="V17" s="552"/>
      <c r="X17" s="2" t="str">
        <f>ข้อมูลพื้นฐาน!G13</f>
        <v>ผศ.ชื่อ-สกุล ไม่ใส่คำนำหน้า</v>
      </c>
    </row>
    <row r="18" spans="1:24" x14ac:dyDescent="0.55000000000000004">
      <c r="A18" s="17"/>
      <c r="B18" s="18"/>
      <c r="C18" s="553" t="s">
        <v>75</v>
      </c>
      <c r="D18" s="553"/>
      <c r="E18" s="553"/>
      <c r="F18" s="553"/>
      <c r="G18" s="553"/>
      <c r="H18" s="553"/>
      <c r="I18" s="553"/>
      <c r="J18" s="553"/>
      <c r="K18" s="547"/>
      <c r="L18" s="548"/>
      <c r="M18" s="547"/>
      <c r="N18" s="548"/>
      <c r="O18" s="549">
        <f t="shared" si="0"/>
        <v>0</v>
      </c>
      <c r="P18" s="549"/>
      <c r="Q18" s="97"/>
      <c r="R18" s="97"/>
      <c r="S18" s="97"/>
      <c r="T18" s="97"/>
      <c r="U18" s="551"/>
      <c r="V18" s="552"/>
      <c r="X18" s="2" t="str">
        <f>ข้อมูลพื้นฐาน!G14</f>
        <v>อาจารย์ชื่อ-สกุล ไม่ใส่คำนำหน้า</v>
      </c>
    </row>
    <row r="19" spans="1:24" x14ac:dyDescent="0.55000000000000004">
      <c r="A19" s="17"/>
      <c r="B19" s="127"/>
      <c r="C19" s="553" t="s">
        <v>75</v>
      </c>
      <c r="D19" s="553"/>
      <c r="E19" s="553"/>
      <c r="F19" s="553"/>
      <c r="G19" s="553"/>
      <c r="H19" s="553"/>
      <c r="I19" s="553"/>
      <c r="J19" s="553"/>
      <c r="K19" s="547"/>
      <c r="L19" s="548"/>
      <c r="M19" s="547"/>
      <c r="N19" s="548"/>
      <c r="O19" s="549">
        <f t="shared" si="0"/>
        <v>0</v>
      </c>
      <c r="P19" s="549"/>
      <c r="Q19" s="14"/>
      <c r="R19" s="14"/>
      <c r="S19" s="14"/>
      <c r="T19" s="14"/>
      <c r="U19" s="551"/>
      <c r="V19" s="552"/>
      <c r="X19" s="2" t="str">
        <f>ข้อมูลพื้นฐาน!G15</f>
        <v/>
      </c>
    </row>
    <row r="20" spans="1:24" x14ac:dyDescent="0.55000000000000004">
      <c r="A20" s="17"/>
      <c r="B20" s="127"/>
      <c r="C20" s="553" t="s">
        <v>75</v>
      </c>
      <c r="D20" s="553"/>
      <c r="E20" s="553"/>
      <c r="F20" s="553"/>
      <c r="G20" s="553"/>
      <c r="H20" s="553"/>
      <c r="I20" s="553"/>
      <c r="J20" s="553"/>
      <c r="K20" s="547"/>
      <c r="L20" s="548"/>
      <c r="M20" s="547"/>
      <c r="N20" s="548"/>
      <c r="O20" s="549">
        <f t="shared" si="0"/>
        <v>0</v>
      </c>
      <c r="P20" s="549"/>
      <c r="Q20" s="14"/>
      <c r="R20" s="14"/>
      <c r="S20" s="14"/>
      <c r="T20" s="14"/>
      <c r="U20" s="95"/>
      <c r="V20" s="130"/>
      <c r="X20" s="2" t="str">
        <f>ข้อมูลพื้นฐาน!G16</f>
        <v/>
      </c>
    </row>
    <row r="21" spans="1:24" x14ac:dyDescent="0.55000000000000004">
      <c r="A21" s="17"/>
      <c r="B21" s="127"/>
      <c r="C21" s="553" t="s">
        <v>75</v>
      </c>
      <c r="D21" s="553"/>
      <c r="E21" s="553"/>
      <c r="F21" s="553"/>
      <c r="G21" s="553"/>
      <c r="H21" s="553"/>
      <c r="I21" s="553"/>
      <c r="J21" s="553"/>
      <c r="K21" s="547"/>
      <c r="L21" s="548"/>
      <c r="M21" s="547"/>
      <c r="N21" s="548"/>
      <c r="O21" s="549">
        <f t="shared" si="0"/>
        <v>0</v>
      </c>
      <c r="P21" s="549"/>
      <c r="Q21" s="14"/>
      <c r="R21" s="14"/>
      <c r="S21" s="14"/>
      <c r="T21" s="14"/>
      <c r="U21" s="95"/>
      <c r="V21" s="130"/>
      <c r="X21" s="2" t="str">
        <f>ข้อมูลพื้นฐาน!G17</f>
        <v/>
      </c>
    </row>
    <row r="22" spans="1:24" x14ac:dyDescent="0.55000000000000004">
      <c r="A22" s="17"/>
      <c r="B22" s="127"/>
      <c r="C22" s="553" t="s">
        <v>75</v>
      </c>
      <c r="D22" s="553"/>
      <c r="E22" s="553"/>
      <c r="F22" s="553"/>
      <c r="G22" s="553"/>
      <c r="H22" s="553"/>
      <c r="I22" s="553"/>
      <c r="J22" s="553"/>
      <c r="K22" s="547"/>
      <c r="L22" s="548"/>
      <c r="M22" s="547"/>
      <c r="N22" s="548"/>
      <c r="O22" s="549">
        <f t="shared" si="0"/>
        <v>0</v>
      </c>
      <c r="P22" s="549"/>
      <c r="Q22" s="14"/>
      <c r="R22" s="14"/>
      <c r="S22" s="14"/>
      <c r="T22" s="14"/>
      <c r="U22" s="95"/>
      <c r="V22" s="130"/>
      <c r="X22" s="2" t="str">
        <f>ข้อมูลพื้นฐาน!G18</f>
        <v/>
      </c>
    </row>
    <row r="23" spans="1:24" x14ac:dyDescent="0.55000000000000004">
      <c r="A23" s="17"/>
      <c r="B23" s="127"/>
      <c r="C23" s="553" t="s">
        <v>75</v>
      </c>
      <c r="D23" s="553"/>
      <c r="E23" s="553"/>
      <c r="F23" s="553"/>
      <c r="G23" s="553"/>
      <c r="H23" s="553"/>
      <c r="I23" s="553"/>
      <c r="J23" s="553"/>
      <c r="K23" s="547"/>
      <c r="L23" s="548"/>
      <c r="M23" s="547"/>
      <c r="N23" s="548"/>
      <c r="O23" s="549">
        <f t="shared" si="0"/>
        <v>0</v>
      </c>
      <c r="P23" s="549"/>
      <c r="Q23" s="14"/>
      <c r="R23" s="14"/>
      <c r="S23" s="14"/>
      <c r="T23" s="14"/>
      <c r="U23" s="95"/>
      <c r="V23" s="130"/>
      <c r="X23" s="2" t="str">
        <f>ข้อมูลพื้นฐาน!G19</f>
        <v/>
      </c>
    </row>
    <row r="24" spans="1:24" x14ac:dyDescent="0.55000000000000004">
      <c r="A24" s="17"/>
      <c r="B24" s="127"/>
      <c r="C24" s="553" t="s">
        <v>75</v>
      </c>
      <c r="D24" s="553"/>
      <c r="E24" s="553"/>
      <c r="F24" s="553"/>
      <c r="G24" s="553"/>
      <c r="H24" s="553"/>
      <c r="I24" s="553"/>
      <c r="J24" s="553"/>
      <c r="K24" s="547"/>
      <c r="L24" s="548"/>
      <c r="M24" s="547"/>
      <c r="N24" s="548"/>
      <c r="O24" s="549">
        <f t="shared" si="0"/>
        <v>0</v>
      </c>
      <c r="P24" s="549"/>
      <c r="Q24" s="14"/>
      <c r="R24" s="14"/>
      <c r="S24" s="14"/>
      <c r="T24" s="14"/>
      <c r="U24" s="95"/>
      <c r="V24" s="130"/>
      <c r="X24" s="2" t="str">
        <f>ข้อมูลพื้นฐาน!G20</f>
        <v/>
      </c>
    </row>
    <row r="25" spans="1:24" x14ac:dyDescent="0.55000000000000004">
      <c r="A25" s="17"/>
      <c r="B25" s="127"/>
      <c r="C25" s="553" t="s">
        <v>75</v>
      </c>
      <c r="D25" s="553"/>
      <c r="E25" s="553"/>
      <c r="F25" s="553"/>
      <c r="G25" s="553"/>
      <c r="H25" s="553"/>
      <c r="I25" s="553"/>
      <c r="J25" s="553"/>
      <c r="K25" s="547"/>
      <c r="L25" s="548"/>
      <c r="M25" s="547"/>
      <c r="N25" s="548"/>
      <c r="O25" s="549">
        <f t="shared" si="0"/>
        <v>0</v>
      </c>
      <c r="P25" s="549"/>
      <c r="Q25" s="14"/>
      <c r="R25" s="14"/>
      <c r="S25" s="14"/>
      <c r="T25" s="14"/>
      <c r="U25" s="95"/>
      <c r="V25" s="130"/>
      <c r="X25" s="2" t="str">
        <f>ข้อมูลพื้นฐาน!G21</f>
        <v/>
      </c>
    </row>
    <row r="26" spans="1:24" x14ac:dyDescent="0.55000000000000004">
      <c r="A26" s="17"/>
      <c r="B26" s="27"/>
      <c r="C26" s="553" t="s">
        <v>75</v>
      </c>
      <c r="D26" s="553"/>
      <c r="E26" s="553"/>
      <c r="F26" s="553"/>
      <c r="G26" s="553"/>
      <c r="H26" s="553"/>
      <c r="I26" s="553"/>
      <c r="J26" s="553"/>
      <c r="K26" s="547"/>
      <c r="L26" s="548"/>
      <c r="M26" s="547"/>
      <c r="N26" s="548"/>
      <c r="O26" s="549">
        <f t="shared" si="0"/>
        <v>0</v>
      </c>
      <c r="P26" s="549"/>
      <c r="Q26" s="14"/>
      <c r="R26" s="14"/>
      <c r="S26" s="14"/>
      <c r="T26" s="14"/>
      <c r="U26" s="551"/>
      <c r="V26" s="552"/>
      <c r="X26" s="2" t="str">
        <f>ข้อมูลพื้นฐาน!G22</f>
        <v/>
      </c>
    </row>
    <row r="27" spans="1:24" x14ac:dyDescent="0.55000000000000004">
      <c r="A27" s="17"/>
      <c r="B27" s="27"/>
      <c r="C27" s="550" t="s">
        <v>71</v>
      </c>
      <c r="D27" s="550"/>
      <c r="E27" s="550"/>
      <c r="F27" s="550"/>
      <c r="G27" s="550"/>
      <c r="H27" s="550"/>
      <c r="I27" s="550"/>
      <c r="J27" s="550"/>
      <c r="K27" s="557">
        <f>SUM(K16:L26)</f>
        <v>0</v>
      </c>
      <c r="L27" s="557"/>
      <c r="M27" s="557">
        <f>SUM(M16:N26)</f>
        <v>0</v>
      </c>
      <c r="N27" s="558"/>
      <c r="O27" s="557">
        <f>SUM(O16:P26)</f>
        <v>0</v>
      </c>
      <c r="P27" s="557"/>
      <c r="Q27" s="95"/>
      <c r="R27" s="95"/>
      <c r="S27" s="95"/>
      <c r="T27" s="95"/>
      <c r="U27" s="551"/>
      <c r="V27" s="552"/>
      <c r="X27" s="2" t="str">
        <f>ข้อมูลพื้นฐาน!G23</f>
        <v/>
      </c>
    </row>
    <row r="28" spans="1:24" x14ac:dyDescent="0.55000000000000004">
      <c r="A28" s="17"/>
      <c r="B28" s="13" t="s">
        <v>73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X28" s="2" t="str">
        <f>ข้อมูลพื้นฐาน!G24</f>
        <v/>
      </c>
    </row>
    <row r="29" spans="1:24" s="1" customFormat="1" x14ac:dyDescent="0.55000000000000004">
      <c r="A29" s="32"/>
      <c r="B29" s="470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71"/>
      <c r="X29" s="2" t="str">
        <f>ข้อมูลพื้นฐาน!G25</f>
        <v/>
      </c>
    </row>
    <row r="30" spans="1:24" s="1" customFormat="1" x14ac:dyDescent="0.55000000000000004">
      <c r="A30" s="32"/>
      <c r="B30" s="470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71"/>
      <c r="X30" s="2" t="str">
        <f>ข้อมูลพื้นฐาน!G26</f>
        <v/>
      </c>
    </row>
    <row r="31" spans="1:24" s="1" customFormat="1" x14ac:dyDescent="0.55000000000000004">
      <c r="A31" s="32"/>
      <c r="B31" s="470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71"/>
      <c r="X31" s="2" t="str">
        <f>ข้อมูลพื้นฐาน!G27</f>
        <v/>
      </c>
    </row>
    <row r="32" spans="1:24" s="1" customFormat="1" x14ac:dyDescent="0.55000000000000004">
      <c r="A32" s="32"/>
      <c r="B32" s="470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71"/>
      <c r="X32" s="2" t="str">
        <f>ข้อมูลพื้นฐาน!G28</f>
        <v/>
      </c>
    </row>
    <row r="33" spans="1:24" s="200" customFormat="1" x14ac:dyDescent="0.55000000000000004">
      <c r="A33" s="196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9"/>
      <c r="X33" s="2" t="str">
        <f>ข้อมูลพื้นฐาน!G29</f>
        <v/>
      </c>
    </row>
    <row r="34" spans="1:24" s="200" customFormat="1" x14ac:dyDescent="0.55000000000000004">
      <c r="A34" s="196"/>
      <c r="B34" s="197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9"/>
    </row>
    <row r="35" spans="1:24" s="200" customFormat="1" x14ac:dyDescent="0.55000000000000004">
      <c r="A35" s="196"/>
      <c r="B35" s="197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9"/>
    </row>
    <row r="36" spans="1:24" x14ac:dyDescent="0.55000000000000004">
      <c r="A36" s="17"/>
      <c r="B36" s="13" t="s">
        <v>125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</row>
    <row r="37" spans="1:24" s="1" customFormat="1" x14ac:dyDescent="0.55000000000000004">
      <c r="A37" s="32"/>
      <c r="B37" s="470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71"/>
    </row>
    <row r="38" spans="1:24" s="1" customFormat="1" x14ac:dyDescent="0.55000000000000004">
      <c r="A38" s="32"/>
      <c r="B38" s="470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71"/>
    </row>
    <row r="39" spans="1:24" s="1" customFormat="1" x14ac:dyDescent="0.55000000000000004">
      <c r="A39" s="34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2"/>
    </row>
    <row r="40" spans="1:24" x14ac:dyDescent="0.55000000000000004">
      <c r="A40" s="35" t="s">
        <v>11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4" ht="63.75" customHeight="1" x14ac:dyDescent="0.55000000000000004">
      <c r="A41" s="476" t="s">
        <v>12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6" t="s">
        <v>13</v>
      </c>
      <c r="L41" s="476"/>
      <c r="M41" s="476"/>
      <c r="N41" s="476" t="s">
        <v>14</v>
      </c>
      <c r="O41" s="476"/>
      <c r="P41" s="476"/>
      <c r="Q41" s="476" t="s">
        <v>15</v>
      </c>
      <c r="R41" s="476"/>
      <c r="S41" s="476"/>
      <c r="T41" s="476" t="s">
        <v>16</v>
      </c>
      <c r="U41" s="476"/>
      <c r="V41" s="476"/>
    </row>
    <row r="42" spans="1:24" ht="60.75" customHeight="1" x14ac:dyDescent="0.55000000000000004">
      <c r="A42" s="477" t="s">
        <v>77</v>
      </c>
      <c r="B42" s="477"/>
      <c r="C42" s="477"/>
      <c r="D42" s="477"/>
      <c r="E42" s="477"/>
      <c r="F42" s="477"/>
      <c r="G42" s="477"/>
      <c r="H42" s="477"/>
      <c r="I42" s="477"/>
      <c r="J42" s="477"/>
      <c r="K42" s="554">
        <v>1</v>
      </c>
      <c r="L42" s="554"/>
      <c r="M42" s="554"/>
      <c r="N42" s="555">
        <f>O27</f>
        <v>0</v>
      </c>
      <c r="O42" s="555"/>
      <c r="P42" s="555"/>
      <c r="Q42" s="556">
        <f>K11</f>
        <v>0</v>
      </c>
      <c r="R42" s="556"/>
      <c r="S42" s="556"/>
      <c r="T42" s="527" t="str">
        <f>IF(G8/G9*100&gt;=K42,"บรรลุ","ไม่บรรลุ")</f>
        <v>ไม่บรรลุ</v>
      </c>
      <c r="U42" s="527"/>
      <c r="V42" s="527"/>
    </row>
    <row r="43" spans="1:24" s="1" customFormat="1" x14ac:dyDescent="0.55000000000000004"/>
    <row r="44" spans="1:24" s="1" customFormat="1" x14ac:dyDescent="0.55000000000000004"/>
    <row r="45" spans="1:24" s="1" customFormat="1" x14ac:dyDescent="0.55000000000000004"/>
  </sheetData>
  <sheetProtection sheet="1" objects="1" scenarios="1" formatCells="0" formatRows="0" insertRows="0" deleteRows="0"/>
  <mergeCells count="90">
    <mergeCell ref="B2:V2"/>
    <mergeCell ref="K17:L17"/>
    <mergeCell ref="M16:N16"/>
    <mergeCell ref="M17:N17"/>
    <mergeCell ref="B1:V1"/>
    <mergeCell ref="B5:V5"/>
    <mergeCell ref="G8:H8"/>
    <mergeCell ref="I8:J9"/>
    <mergeCell ref="K8:L9"/>
    <mergeCell ref="G9:H9"/>
    <mergeCell ref="K16:L16"/>
    <mergeCell ref="G11:H11"/>
    <mergeCell ref="I11:J12"/>
    <mergeCell ref="G12:H12"/>
    <mergeCell ref="O11:V11"/>
    <mergeCell ref="K11:M12"/>
    <mergeCell ref="M15:N15"/>
    <mergeCell ref="C14:J15"/>
    <mergeCell ref="B3:V3"/>
    <mergeCell ref="K14:N14"/>
    <mergeCell ref="O26:P26"/>
    <mergeCell ref="U14:V14"/>
    <mergeCell ref="C16:J16"/>
    <mergeCell ref="U16:V16"/>
    <mergeCell ref="C17:J17"/>
    <mergeCell ref="U17:V17"/>
    <mergeCell ref="K15:L15"/>
    <mergeCell ref="C18:J18"/>
    <mergeCell ref="U18:V18"/>
    <mergeCell ref="C19:J19"/>
    <mergeCell ref="O14:P15"/>
    <mergeCell ref="O16:P16"/>
    <mergeCell ref="O17:P17"/>
    <mergeCell ref="B29:V29"/>
    <mergeCell ref="O18:P18"/>
    <mergeCell ref="O19:P19"/>
    <mergeCell ref="K18:L18"/>
    <mergeCell ref="K19:L19"/>
    <mergeCell ref="B30:V30"/>
    <mergeCell ref="K27:L27"/>
    <mergeCell ref="M27:N27"/>
    <mergeCell ref="M18:N18"/>
    <mergeCell ref="M19:N19"/>
    <mergeCell ref="M26:N26"/>
    <mergeCell ref="U19:V19"/>
    <mergeCell ref="C26:J26"/>
    <mergeCell ref="U26:V26"/>
    <mergeCell ref="O27:P27"/>
    <mergeCell ref="K26:L26"/>
    <mergeCell ref="A42:J42"/>
    <mergeCell ref="K42:M42"/>
    <mergeCell ref="N42:P42"/>
    <mergeCell ref="B31:V31"/>
    <mergeCell ref="B32:V32"/>
    <mergeCell ref="Q42:S42"/>
    <mergeCell ref="T42:V42"/>
    <mergeCell ref="A41:J41"/>
    <mergeCell ref="K41:M41"/>
    <mergeCell ref="N41:P41"/>
    <mergeCell ref="Q41:S41"/>
    <mergeCell ref="T41:V41"/>
    <mergeCell ref="B37:V37"/>
    <mergeCell ref="B38:V38"/>
    <mergeCell ref="B39:V39"/>
    <mergeCell ref="C27:J27"/>
    <mergeCell ref="U27:V27"/>
    <mergeCell ref="C20:J20"/>
    <mergeCell ref="C21:J21"/>
    <mergeCell ref="C22:J22"/>
    <mergeCell ref="C23:J23"/>
    <mergeCell ref="C24:J24"/>
    <mergeCell ref="C25:J25"/>
    <mergeCell ref="O20:P20"/>
    <mergeCell ref="O21:P21"/>
    <mergeCell ref="O22:P22"/>
    <mergeCell ref="O23:P23"/>
    <mergeCell ref="O24:P24"/>
    <mergeCell ref="O25:P25"/>
    <mergeCell ref="K20:L20"/>
    <mergeCell ref="K21:L21"/>
    <mergeCell ref="K22:L22"/>
    <mergeCell ref="K23:L23"/>
    <mergeCell ref="K24:L24"/>
    <mergeCell ref="K25:L25"/>
    <mergeCell ref="M20:N20"/>
    <mergeCell ref="M21:N21"/>
    <mergeCell ref="M22:N22"/>
    <mergeCell ref="M23:N23"/>
    <mergeCell ref="M24:N24"/>
    <mergeCell ref="M25:N25"/>
  </mergeCells>
  <dataValidations count="3">
    <dataValidation type="list" allowBlank="1" showInputMessage="1" showErrorMessage="1" sqref="O11:V11">
      <formula1>$Y$11:$Y$13</formula1>
    </dataValidation>
    <dataValidation type="list" allowBlank="1" showInputMessage="1" showErrorMessage="1" sqref="C17:J26">
      <formula1>$X$17:$X$26</formula1>
    </dataValidation>
    <dataValidation type="list" allowBlank="1" showInputMessage="1" showErrorMessage="1" sqref="C16:J16">
      <formula1>$X$17:$X$28</formula1>
    </dataValidation>
  </dataValidations>
  <hyperlinks>
    <hyperlink ref="W4" location="ข้อมูลพื้นฐาน!A1" display="Main Menu"/>
    <hyperlink ref="W6" location="'หมวด2-4.3'!A1" display="Next &gt;&gt; ตัวบ่งชี้ที่ 4.3"/>
    <hyperlink ref="W5" location="'หมวด2-4.2'!A1" display="&lt;&lt; Previois ตัวบ่งชี้ที่ 4.2"/>
  </hyperlinks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4" tint="0.79998168889431442"/>
  </sheetPr>
  <dimension ref="A1:J52"/>
  <sheetViews>
    <sheetView showGridLines="0" zoomScale="115" zoomScaleNormal="115" zoomScaleSheetLayoutView="115" workbookViewId="0">
      <selection activeCell="B4" sqref="B4"/>
    </sheetView>
  </sheetViews>
  <sheetFormatPr defaultRowHeight="24" x14ac:dyDescent="0.55000000000000004"/>
  <cols>
    <col min="1" max="1" width="5.875" style="2" customWidth="1"/>
    <col min="2" max="2" width="3.125" style="2" customWidth="1"/>
    <col min="3" max="3" width="25.625" style="2" customWidth="1"/>
    <col min="4" max="7" width="10.875" style="2" customWidth="1"/>
    <col min="8" max="8" width="74.875" style="2" customWidth="1"/>
    <col min="9" max="9" width="26.25" style="2" hidden="1" customWidth="1"/>
    <col min="10" max="10" width="9" style="2" hidden="1" customWidth="1"/>
    <col min="11" max="11" width="9" style="2" customWidth="1"/>
    <col min="12" max="16384" width="9" style="2"/>
  </cols>
  <sheetData>
    <row r="1" spans="1:10" x14ac:dyDescent="0.55000000000000004">
      <c r="A1" s="37" t="s">
        <v>22</v>
      </c>
    </row>
    <row r="2" spans="1:10" x14ac:dyDescent="0.55000000000000004">
      <c r="A2" s="218" t="s">
        <v>12</v>
      </c>
      <c r="B2" s="472" t="s">
        <v>23</v>
      </c>
      <c r="C2" s="472"/>
      <c r="D2" s="472"/>
      <c r="E2" s="472"/>
      <c r="F2" s="472"/>
      <c r="G2" s="472"/>
    </row>
    <row r="3" spans="1:10" x14ac:dyDescent="0.55000000000000004">
      <c r="A3" s="38">
        <v>4.3</v>
      </c>
      <c r="B3" s="194" t="s">
        <v>85</v>
      </c>
      <c r="C3" s="70"/>
      <c r="D3" s="70"/>
      <c r="E3" s="70"/>
      <c r="F3" s="70"/>
      <c r="G3" s="71"/>
      <c r="H3" s="181" t="s">
        <v>346</v>
      </c>
    </row>
    <row r="4" spans="1:10" x14ac:dyDescent="0.55000000000000004">
      <c r="A4" s="17"/>
      <c r="B4" s="25" t="s">
        <v>86</v>
      </c>
      <c r="C4" s="14"/>
      <c r="D4" s="14"/>
      <c r="E4" s="14"/>
      <c r="F4" s="14"/>
      <c r="G4" s="15"/>
      <c r="H4" s="182" t="s">
        <v>371</v>
      </c>
    </row>
    <row r="5" spans="1:10" x14ac:dyDescent="0.55000000000000004">
      <c r="A5" s="17"/>
      <c r="B5" s="25" t="s">
        <v>87</v>
      </c>
      <c r="C5" s="14"/>
      <c r="D5" s="14"/>
      <c r="E5" s="14"/>
      <c r="F5" s="14"/>
      <c r="G5" s="15"/>
      <c r="H5" s="182" t="s">
        <v>372</v>
      </c>
    </row>
    <row r="6" spans="1:10" ht="42" customHeight="1" x14ac:dyDescent="0.55000000000000004">
      <c r="A6" s="17"/>
      <c r="B6" s="25"/>
      <c r="C6" s="586" t="s">
        <v>458</v>
      </c>
      <c r="D6" s="586"/>
      <c r="E6" s="586"/>
      <c r="F6" s="586"/>
      <c r="G6" s="587"/>
      <c r="H6" s="182"/>
    </row>
    <row r="7" spans="1:10" x14ac:dyDescent="0.55000000000000004">
      <c r="A7" s="17"/>
      <c r="B7" s="25"/>
      <c r="C7" s="222" t="s">
        <v>82</v>
      </c>
      <c r="D7" s="222" t="s">
        <v>457</v>
      </c>
      <c r="E7" s="222" t="s">
        <v>421</v>
      </c>
      <c r="F7" s="222" t="s">
        <v>454</v>
      </c>
      <c r="G7" s="222" t="s">
        <v>453</v>
      </c>
      <c r="H7" s="182"/>
    </row>
    <row r="8" spans="1:10" x14ac:dyDescent="0.55000000000000004">
      <c r="A8" s="17"/>
      <c r="B8" s="25"/>
      <c r="C8" s="392" t="s">
        <v>456</v>
      </c>
      <c r="D8" s="45">
        <v>100</v>
      </c>
      <c r="E8" s="45">
        <v>5</v>
      </c>
      <c r="F8" s="264">
        <f>IF(ISERR(D8/E8),"-",D8/E8)</f>
        <v>20</v>
      </c>
      <c r="G8" s="246" t="str">
        <f>IF(OR((F8/J8*100)&lt;80,(F8/J8*100)&gt;120),"ไม่เหมาะสม",(F8/J8*100))</f>
        <v>ไม่เหมาะสม</v>
      </c>
      <c r="H8" s="182"/>
      <c r="J8" s="2">
        <f>VLOOKUP(C8,I9:J20,2,0)</f>
        <v>6</v>
      </c>
    </row>
    <row r="9" spans="1:10" x14ac:dyDescent="0.55000000000000004">
      <c r="A9" s="17"/>
      <c r="B9" s="25"/>
      <c r="C9" s="265" t="s">
        <v>459</v>
      </c>
      <c r="D9" s="14"/>
      <c r="E9" s="14"/>
      <c r="F9" s="14"/>
      <c r="G9" s="15"/>
      <c r="I9" s="2" t="s">
        <v>452</v>
      </c>
      <c r="J9" s="2">
        <v>8</v>
      </c>
    </row>
    <row r="10" spans="1:10" x14ac:dyDescent="0.55000000000000004">
      <c r="A10" s="18"/>
      <c r="B10" s="204"/>
      <c r="C10" s="585" t="s">
        <v>408</v>
      </c>
      <c r="D10" s="583" t="s">
        <v>409</v>
      </c>
      <c r="E10" s="584"/>
      <c r="F10" s="584"/>
      <c r="G10" s="234"/>
      <c r="I10" s="2" t="s">
        <v>455</v>
      </c>
      <c r="J10" s="2">
        <v>4</v>
      </c>
    </row>
    <row r="11" spans="1:10" x14ac:dyDescent="0.55000000000000004">
      <c r="A11" s="18"/>
      <c r="B11" s="205"/>
      <c r="C11" s="585"/>
      <c r="D11" s="203">
        <f>E11-1</f>
        <v>2561</v>
      </c>
      <c r="E11" s="226">
        <f>F11-1</f>
        <v>2562</v>
      </c>
      <c r="F11" s="226">
        <f>ปีประเมิน</f>
        <v>2563</v>
      </c>
      <c r="G11" s="235"/>
      <c r="I11" s="2" t="s">
        <v>456</v>
      </c>
      <c r="J11" s="2">
        <v>6</v>
      </c>
    </row>
    <row r="12" spans="1:10" x14ac:dyDescent="0.55000000000000004">
      <c r="A12" s="18"/>
      <c r="B12" s="205"/>
      <c r="C12" s="302" t="s">
        <v>411</v>
      </c>
      <c r="D12" s="303">
        <v>4.4000000000000004</v>
      </c>
      <c r="E12" s="304">
        <v>4</v>
      </c>
      <c r="F12" s="304">
        <v>5</v>
      </c>
      <c r="G12" s="235"/>
      <c r="I12" s="2" t="s">
        <v>443</v>
      </c>
      <c r="J12" s="2">
        <v>20</v>
      </c>
    </row>
    <row r="13" spans="1:10" x14ac:dyDescent="0.55000000000000004">
      <c r="A13" s="18"/>
      <c r="B13" s="205"/>
      <c r="C13" s="302"/>
      <c r="D13" s="303"/>
      <c r="E13" s="304"/>
      <c r="F13" s="304"/>
      <c r="G13" s="235"/>
      <c r="I13" s="2" t="s">
        <v>444</v>
      </c>
      <c r="J13" s="2">
        <v>20</v>
      </c>
    </row>
    <row r="14" spans="1:10" x14ac:dyDescent="0.55000000000000004">
      <c r="A14" s="18"/>
      <c r="B14" s="205"/>
      <c r="C14" s="302"/>
      <c r="D14" s="303"/>
      <c r="E14" s="304"/>
      <c r="F14" s="304"/>
      <c r="G14" s="235"/>
      <c r="I14" s="2" t="s">
        <v>445</v>
      </c>
      <c r="J14" s="2">
        <v>8</v>
      </c>
    </row>
    <row r="15" spans="1:10" x14ac:dyDescent="0.55000000000000004">
      <c r="A15" s="18"/>
      <c r="B15" s="205"/>
      <c r="C15" s="302"/>
      <c r="D15" s="303"/>
      <c r="E15" s="304"/>
      <c r="F15" s="304"/>
      <c r="G15" s="235"/>
      <c r="I15" s="2" t="s">
        <v>446</v>
      </c>
      <c r="J15" s="2">
        <v>20</v>
      </c>
    </row>
    <row r="16" spans="1:10" x14ac:dyDescent="0.55000000000000004">
      <c r="A16" s="18"/>
      <c r="B16" s="205"/>
      <c r="C16" s="302"/>
      <c r="D16" s="303"/>
      <c r="E16" s="304"/>
      <c r="F16" s="304"/>
      <c r="G16" s="235"/>
      <c r="I16" s="2" t="s">
        <v>447</v>
      </c>
      <c r="J16" s="2">
        <v>25</v>
      </c>
    </row>
    <row r="17" spans="1:10" x14ac:dyDescent="0.55000000000000004">
      <c r="A17" s="18"/>
      <c r="B17" s="205"/>
      <c r="C17" s="302"/>
      <c r="D17" s="303"/>
      <c r="E17" s="304"/>
      <c r="F17" s="304"/>
      <c r="G17" s="235"/>
      <c r="I17" s="2" t="s">
        <v>448</v>
      </c>
      <c r="J17" s="2">
        <v>50</v>
      </c>
    </row>
    <row r="18" spans="1:10" x14ac:dyDescent="0.55000000000000004">
      <c r="A18" s="18"/>
      <c r="B18" s="204"/>
      <c r="C18" s="226" t="s">
        <v>410</v>
      </c>
      <c r="D18" s="83">
        <f>AVERAGE(D12:D17)</f>
        <v>4.4000000000000004</v>
      </c>
      <c r="E18" s="83">
        <f>AVERAGE(E12:E17)</f>
        <v>4</v>
      </c>
      <c r="F18" s="83">
        <f>AVERAGE(F12:F17)</f>
        <v>5</v>
      </c>
      <c r="G18" s="235"/>
      <c r="I18" s="2" t="s">
        <v>449</v>
      </c>
      <c r="J18" s="2">
        <v>30</v>
      </c>
    </row>
    <row r="19" spans="1:10" x14ac:dyDescent="0.55000000000000004">
      <c r="A19" s="17"/>
      <c r="B19" s="25"/>
      <c r="C19" s="14"/>
      <c r="D19" s="14"/>
      <c r="E19" s="14"/>
      <c r="F19" s="14"/>
      <c r="G19" s="15"/>
      <c r="I19" s="2" t="s">
        <v>450</v>
      </c>
      <c r="J19" s="2">
        <v>8</v>
      </c>
    </row>
    <row r="20" spans="1:10" x14ac:dyDescent="0.55000000000000004">
      <c r="A20" s="17"/>
      <c r="B20" s="25"/>
      <c r="C20" s="14"/>
      <c r="D20" s="14"/>
      <c r="E20" s="14"/>
      <c r="F20" s="14"/>
      <c r="G20" s="15"/>
      <c r="I20" s="2" t="s">
        <v>451</v>
      </c>
      <c r="J20" s="2">
        <v>25</v>
      </c>
    </row>
    <row r="21" spans="1:10" x14ac:dyDescent="0.55000000000000004">
      <c r="A21" s="17"/>
      <c r="B21" s="25"/>
      <c r="C21" s="14"/>
      <c r="D21" s="14"/>
      <c r="E21" s="14"/>
      <c r="F21" s="14"/>
      <c r="G21" s="15"/>
    </row>
    <row r="22" spans="1:10" x14ac:dyDescent="0.55000000000000004">
      <c r="A22" s="17"/>
      <c r="B22" s="25"/>
      <c r="C22" s="14"/>
      <c r="D22" s="14"/>
      <c r="E22" s="14"/>
      <c r="F22" s="14"/>
      <c r="G22" s="15"/>
    </row>
    <row r="23" spans="1:10" x14ac:dyDescent="0.55000000000000004">
      <c r="A23" s="17"/>
      <c r="B23" s="25"/>
      <c r="C23" s="14"/>
      <c r="D23" s="14"/>
      <c r="E23" s="14"/>
      <c r="F23" s="14"/>
      <c r="G23" s="15"/>
    </row>
    <row r="24" spans="1:10" x14ac:dyDescent="0.55000000000000004">
      <c r="A24" s="17"/>
      <c r="B24" s="25"/>
      <c r="C24" s="14"/>
      <c r="D24" s="14"/>
      <c r="E24" s="14"/>
      <c r="F24" s="14"/>
      <c r="G24" s="15"/>
    </row>
    <row r="25" spans="1:10" x14ac:dyDescent="0.55000000000000004">
      <c r="A25" s="17"/>
      <c r="B25" s="25"/>
      <c r="C25" s="14"/>
      <c r="D25" s="14"/>
      <c r="E25" s="14"/>
      <c r="F25" s="14"/>
      <c r="G25" s="15"/>
    </row>
    <row r="26" spans="1:10" x14ac:dyDescent="0.55000000000000004">
      <c r="A26" s="17"/>
      <c r="B26" s="25"/>
      <c r="C26" s="14"/>
      <c r="D26" s="14"/>
      <c r="E26" s="14"/>
      <c r="F26" s="14"/>
      <c r="G26" s="15"/>
    </row>
    <row r="27" spans="1:10" x14ac:dyDescent="0.55000000000000004">
      <c r="A27" s="17"/>
      <c r="B27" s="25"/>
      <c r="C27" s="14"/>
      <c r="D27" s="14"/>
      <c r="E27" s="14"/>
      <c r="F27" s="14"/>
      <c r="G27" s="15"/>
    </row>
    <row r="28" spans="1:10" x14ac:dyDescent="0.55000000000000004">
      <c r="A28" s="17"/>
      <c r="B28" s="13" t="s">
        <v>28</v>
      </c>
      <c r="C28" s="14"/>
      <c r="D28" s="14"/>
      <c r="E28" s="14"/>
      <c r="F28" s="14"/>
      <c r="G28" s="15"/>
    </row>
    <row r="29" spans="1:10" x14ac:dyDescent="0.55000000000000004">
      <c r="A29" s="17"/>
      <c r="B29" s="470"/>
      <c r="C29" s="469"/>
      <c r="D29" s="469"/>
      <c r="E29" s="469"/>
      <c r="F29" s="469"/>
      <c r="G29" s="471"/>
    </row>
    <row r="30" spans="1:10" x14ac:dyDescent="0.55000000000000004">
      <c r="A30" s="17"/>
      <c r="B30" s="470"/>
      <c r="C30" s="469"/>
      <c r="D30" s="469"/>
      <c r="E30" s="469"/>
      <c r="F30" s="469"/>
      <c r="G30" s="471"/>
    </row>
    <row r="31" spans="1:10" x14ac:dyDescent="0.55000000000000004">
      <c r="A31" s="17"/>
      <c r="B31" s="470"/>
      <c r="C31" s="469"/>
      <c r="D31" s="469"/>
      <c r="E31" s="469"/>
      <c r="F31" s="469"/>
      <c r="G31" s="471"/>
    </row>
    <row r="32" spans="1:10" x14ac:dyDescent="0.55000000000000004">
      <c r="A32" s="17"/>
      <c r="B32" s="470"/>
      <c r="C32" s="469"/>
      <c r="D32" s="469"/>
      <c r="E32" s="469"/>
      <c r="F32" s="469"/>
      <c r="G32" s="471"/>
    </row>
    <row r="33" spans="1:9" x14ac:dyDescent="0.55000000000000004">
      <c r="A33" s="17"/>
      <c r="B33" s="470"/>
      <c r="C33" s="469"/>
      <c r="D33" s="469"/>
      <c r="E33" s="469"/>
      <c r="F33" s="469"/>
      <c r="G33" s="471"/>
    </row>
    <row r="34" spans="1:9" x14ac:dyDescent="0.55000000000000004">
      <c r="A34" s="17"/>
      <c r="B34" s="13" t="s">
        <v>73</v>
      </c>
      <c r="C34" s="14"/>
      <c r="D34" s="14"/>
      <c r="E34" s="14"/>
      <c r="F34" s="14"/>
      <c r="G34" s="15"/>
    </row>
    <row r="35" spans="1:9" x14ac:dyDescent="0.55000000000000004">
      <c r="A35" s="17"/>
      <c r="B35" s="470"/>
      <c r="C35" s="469"/>
      <c r="D35" s="469"/>
      <c r="E35" s="469"/>
      <c r="F35" s="469"/>
      <c r="G35" s="471"/>
    </row>
    <row r="36" spans="1:9" x14ac:dyDescent="0.55000000000000004">
      <c r="A36" s="17"/>
      <c r="B36" s="470"/>
      <c r="C36" s="469"/>
      <c r="D36" s="469"/>
      <c r="E36" s="469"/>
      <c r="F36" s="469"/>
      <c r="G36" s="471"/>
    </row>
    <row r="37" spans="1:9" x14ac:dyDescent="0.55000000000000004">
      <c r="A37" s="17"/>
      <c r="B37" s="470"/>
      <c r="C37" s="469"/>
      <c r="D37" s="469"/>
      <c r="E37" s="469"/>
      <c r="F37" s="469"/>
      <c r="G37" s="471"/>
    </row>
    <row r="38" spans="1:9" x14ac:dyDescent="0.55000000000000004">
      <c r="A38" s="17"/>
      <c r="B38" s="470"/>
      <c r="C38" s="469"/>
      <c r="D38" s="469"/>
      <c r="E38" s="469"/>
      <c r="F38" s="469"/>
      <c r="G38" s="471"/>
    </row>
    <row r="39" spans="1:9" x14ac:dyDescent="0.55000000000000004">
      <c r="A39" s="17"/>
      <c r="B39" s="206"/>
      <c r="C39" s="207"/>
      <c r="D39" s="207"/>
      <c r="E39" s="207"/>
      <c r="F39" s="207"/>
      <c r="G39" s="208"/>
    </row>
    <row r="40" spans="1:9" x14ac:dyDescent="0.55000000000000004">
      <c r="A40" s="17"/>
      <c r="B40" s="206"/>
      <c r="C40" s="207"/>
      <c r="D40" s="207"/>
      <c r="E40" s="207"/>
      <c r="F40" s="207"/>
      <c r="G40" s="208"/>
    </row>
    <row r="41" spans="1:9" x14ac:dyDescent="0.55000000000000004">
      <c r="A41" s="17"/>
      <c r="B41" s="13" t="s">
        <v>125</v>
      </c>
      <c r="C41" s="14"/>
      <c r="D41" s="14"/>
      <c r="E41" s="14"/>
      <c r="F41" s="14"/>
      <c r="G41" s="15"/>
    </row>
    <row r="42" spans="1:9" x14ac:dyDescent="0.55000000000000004">
      <c r="A42" s="17"/>
      <c r="B42" s="470"/>
      <c r="C42" s="469"/>
      <c r="D42" s="469"/>
      <c r="E42" s="469"/>
      <c r="F42" s="469"/>
      <c r="G42" s="471"/>
    </row>
    <row r="43" spans="1:9" x14ac:dyDescent="0.55000000000000004">
      <c r="A43" s="17"/>
      <c r="B43" s="470"/>
      <c r="C43" s="469"/>
      <c r="D43" s="469"/>
      <c r="E43" s="469"/>
      <c r="F43" s="469"/>
      <c r="G43" s="471"/>
    </row>
    <row r="44" spans="1:9" x14ac:dyDescent="0.55000000000000004">
      <c r="A44" s="168"/>
      <c r="B44" s="473"/>
      <c r="C44" s="474"/>
      <c r="D44" s="474"/>
      <c r="E44" s="474"/>
      <c r="F44" s="474"/>
      <c r="G44" s="475"/>
    </row>
    <row r="45" spans="1:9" x14ac:dyDescent="0.55000000000000004">
      <c r="A45" s="115" t="s">
        <v>11</v>
      </c>
      <c r="B45" s="51"/>
      <c r="C45" s="51"/>
      <c r="D45" s="51"/>
      <c r="E45" s="51"/>
      <c r="F45" s="51"/>
      <c r="G45" s="51"/>
    </row>
    <row r="46" spans="1:9" ht="43.5" x14ac:dyDescent="0.55000000000000004">
      <c r="A46" s="476" t="s">
        <v>12</v>
      </c>
      <c r="B46" s="476"/>
      <c r="C46" s="476"/>
      <c r="D46" s="219" t="s">
        <v>13</v>
      </c>
      <c r="E46" s="219" t="s">
        <v>14</v>
      </c>
      <c r="F46" s="219" t="s">
        <v>403</v>
      </c>
      <c r="G46" s="219" t="s">
        <v>16</v>
      </c>
    </row>
    <row r="47" spans="1:9" ht="42.75" customHeight="1" x14ac:dyDescent="0.55000000000000004">
      <c r="A47" s="477" t="s">
        <v>88</v>
      </c>
      <c r="B47" s="477"/>
      <c r="C47" s="477"/>
      <c r="D47" s="228">
        <v>3</v>
      </c>
      <c r="E47" s="228">
        <v>3</v>
      </c>
      <c r="F47" s="227">
        <f>E47</f>
        <v>3</v>
      </c>
      <c r="G47" s="221" t="str">
        <f>IF(E47&gt;=D47,"บรรลุ","ไม่บรรลุ")</f>
        <v>บรรลุ</v>
      </c>
      <c r="I47" s="2">
        <v>0</v>
      </c>
    </row>
    <row r="48" spans="1:9" s="1" customFormat="1" x14ac:dyDescent="0.55000000000000004">
      <c r="I48" s="1">
        <v>1</v>
      </c>
    </row>
    <row r="49" spans="9:9" s="1" customFormat="1" x14ac:dyDescent="0.55000000000000004">
      <c r="I49" s="1">
        <v>2</v>
      </c>
    </row>
    <row r="50" spans="9:9" s="1" customFormat="1" x14ac:dyDescent="0.55000000000000004">
      <c r="I50" s="1">
        <v>3</v>
      </c>
    </row>
    <row r="51" spans="9:9" x14ac:dyDescent="0.55000000000000004">
      <c r="I51" s="2">
        <v>4</v>
      </c>
    </row>
    <row r="52" spans="9:9" x14ac:dyDescent="0.55000000000000004">
      <c r="I52" s="2">
        <v>5</v>
      </c>
    </row>
  </sheetData>
  <sheetProtection sheet="1" objects="1" scenarios="1" formatCells="0" formatRows="0" insertRows="0" deleteRows="0"/>
  <mergeCells count="18">
    <mergeCell ref="B2:G2"/>
    <mergeCell ref="B29:G29"/>
    <mergeCell ref="B30:G30"/>
    <mergeCell ref="B31:G31"/>
    <mergeCell ref="B32:G32"/>
    <mergeCell ref="D10:F10"/>
    <mergeCell ref="C10:C11"/>
    <mergeCell ref="C6:G6"/>
    <mergeCell ref="B33:G33"/>
    <mergeCell ref="B44:G44"/>
    <mergeCell ref="A46:C46"/>
    <mergeCell ref="A47:C47"/>
    <mergeCell ref="B35:G35"/>
    <mergeCell ref="B36:G36"/>
    <mergeCell ref="B37:G37"/>
    <mergeCell ref="B38:G38"/>
    <mergeCell ref="B42:G42"/>
    <mergeCell ref="B43:G43"/>
  </mergeCells>
  <dataValidations count="2">
    <dataValidation type="list" allowBlank="1" showInputMessage="1" showErrorMessage="1" sqref="D47:E47">
      <formula1>$I$47:$I$52</formula1>
    </dataValidation>
    <dataValidation type="list" allowBlank="1" showInputMessage="1" showErrorMessage="1" sqref="C8">
      <formula1>$I$9:$I$20</formula1>
    </dataValidation>
  </dataValidations>
  <hyperlinks>
    <hyperlink ref="H3" location="ข้อมูลพื้นฐาน!A1" display="Main Menu"/>
    <hyperlink ref="H5" location="'หมวด3-2.1'!A1" display="Next &gt;&gt; ตัวบ่งชี้ที่ 2.1"/>
    <hyperlink ref="H4" location="'หมวด2-4.2(เอก)'!A1" display="&lt;&lt; Previois ตัวบ่งชี้ที่ 4.2 (ปริญญาเอก)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rowBreaks count="1" manualBreakCount="1">
    <brk id="33" max="6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7" tint="0.79998168889431442"/>
  </sheetPr>
  <dimension ref="A1:K33"/>
  <sheetViews>
    <sheetView showGridLines="0" zoomScale="115" zoomScaleNormal="115" zoomScaleSheetLayoutView="115" workbookViewId="0">
      <selection activeCell="I38" sqref="I38"/>
    </sheetView>
  </sheetViews>
  <sheetFormatPr defaultRowHeight="24" x14ac:dyDescent="0.55000000000000004"/>
  <cols>
    <col min="1" max="1" width="6.875" style="2" customWidth="1"/>
    <col min="2" max="4" width="8.875" style="2" customWidth="1"/>
    <col min="5" max="5" width="3.25" style="2" customWidth="1"/>
    <col min="6" max="9" width="10.375" style="2" customWidth="1"/>
    <col min="10" max="10" width="31.75" style="2" bestFit="1" customWidth="1"/>
    <col min="11" max="11" width="8.875" style="2" hidden="1" customWidth="1"/>
    <col min="12" max="16" width="8.875" style="2" customWidth="1"/>
    <col min="17" max="16384" width="9" style="2"/>
  </cols>
  <sheetData>
    <row r="1" spans="1:11" ht="27" x14ac:dyDescent="0.55000000000000004">
      <c r="A1" s="592" t="s">
        <v>89</v>
      </c>
      <c r="B1" s="592"/>
      <c r="C1" s="592"/>
      <c r="D1" s="592"/>
      <c r="E1" s="592"/>
      <c r="F1" s="592"/>
      <c r="G1" s="592"/>
      <c r="H1" s="592"/>
      <c r="I1" s="592"/>
    </row>
    <row r="2" spans="1:11" x14ac:dyDescent="0.55000000000000004">
      <c r="A2" s="37" t="s">
        <v>90</v>
      </c>
    </row>
    <row r="3" spans="1:11" ht="21" customHeight="1" x14ac:dyDescent="0.55000000000000004">
      <c r="A3" s="89" t="s">
        <v>12</v>
      </c>
      <c r="B3" s="472" t="s">
        <v>23</v>
      </c>
      <c r="C3" s="472"/>
      <c r="D3" s="472"/>
      <c r="E3" s="472"/>
      <c r="F3" s="472"/>
      <c r="G3" s="472"/>
      <c r="H3" s="472"/>
      <c r="I3" s="472"/>
      <c r="J3" s="181" t="s">
        <v>346</v>
      </c>
    </row>
    <row r="4" spans="1:11" x14ac:dyDescent="0.55000000000000004">
      <c r="A4" s="12">
        <v>2.1</v>
      </c>
      <c r="B4" s="48" t="s">
        <v>91</v>
      </c>
      <c r="C4" s="14"/>
      <c r="D4" s="14"/>
      <c r="E4" s="14"/>
      <c r="F4" s="14"/>
      <c r="G4" s="14"/>
      <c r="H4" s="14"/>
      <c r="I4" s="15"/>
      <c r="J4" s="182" t="s">
        <v>373</v>
      </c>
    </row>
    <row r="5" spans="1:11" s="1" customFormat="1" x14ac:dyDescent="0.55000000000000004">
      <c r="A5" s="32"/>
      <c r="B5" s="33" t="s">
        <v>28</v>
      </c>
      <c r="C5" s="31"/>
      <c r="D5" s="31"/>
      <c r="E5" s="31"/>
      <c r="F5" s="31"/>
      <c r="G5" s="42" t="s">
        <v>229</v>
      </c>
      <c r="H5" s="43"/>
      <c r="I5" s="44"/>
      <c r="J5" s="182" t="s">
        <v>374</v>
      </c>
      <c r="K5" s="1" t="b">
        <v>1</v>
      </c>
    </row>
    <row r="6" spans="1:11" ht="39" customHeight="1" x14ac:dyDescent="0.55000000000000004">
      <c r="A6" s="17"/>
      <c r="B6" s="593" t="str">
        <f>"         ผลการสำรวจความคิดเห็นของผู้ใช้บัณฑิต ต่อคุณภาพของบัณฑิตตามกรอบมาตรฐานคุณวุฒิระดับอุดมศึกษาแห่งชาติของหลักสูตร "&amp;ข้อมูลพื้นฐาน!C2&amp;" สาขาวิชา "&amp;ข้อมูลพื้นฐาน!C3&amp;"  มีค่าเฉลี่ยเท่ากับ "&amp;I10&amp;" คะแนน "</f>
        <v xml:space="preserve">         ผลการสำรวจความคิดเห็นของผู้ใช้บัณฑิต ต่อคุณภาพของบัณฑิตตามกรอบมาตรฐานคุณวุฒิระดับอุดมศึกษาแห่งชาติของหลักสูตร วิทยาศาสตรบัณฑิต สาขาวิชา อิเล็กทรอนิกส์สื่อสาร  มีค่าเฉลี่ยเท่ากับ 4.35 คะแนน </v>
      </c>
      <c r="C6" s="593"/>
      <c r="D6" s="593"/>
      <c r="E6" s="593"/>
      <c r="F6" s="593"/>
      <c r="G6" s="593"/>
      <c r="H6" s="593"/>
      <c r="I6" s="594"/>
    </row>
    <row r="7" spans="1:11" x14ac:dyDescent="0.55000000000000004">
      <c r="A7" s="17"/>
      <c r="B7" s="48" t="s">
        <v>47</v>
      </c>
      <c r="C7" s="14"/>
      <c r="D7" s="14"/>
      <c r="E7" s="14"/>
      <c r="F7" s="14"/>
      <c r="G7" s="14"/>
      <c r="H7" s="14"/>
      <c r="I7" s="15"/>
    </row>
    <row r="8" spans="1:11" x14ac:dyDescent="0.55000000000000004">
      <c r="A8" s="17"/>
      <c r="B8" s="96" t="s">
        <v>94</v>
      </c>
      <c r="C8" s="472" t="s">
        <v>95</v>
      </c>
      <c r="D8" s="472"/>
      <c r="E8" s="472"/>
      <c r="F8" s="472"/>
      <c r="G8" s="472"/>
      <c r="H8" s="472"/>
      <c r="I8" s="89" t="s">
        <v>50</v>
      </c>
    </row>
    <row r="9" spans="1:11" x14ac:dyDescent="0.55000000000000004">
      <c r="A9" s="17"/>
      <c r="B9" s="90">
        <v>1</v>
      </c>
      <c r="C9" s="534" t="s">
        <v>327</v>
      </c>
      <c r="D9" s="534"/>
      <c r="E9" s="534"/>
      <c r="F9" s="534"/>
      <c r="G9" s="534"/>
      <c r="H9" s="534"/>
      <c r="I9" s="45">
        <v>6</v>
      </c>
    </row>
    <row r="10" spans="1:11" x14ac:dyDescent="0.55000000000000004">
      <c r="A10" s="17"/>
      <c r="B10" s="90">
        <v>2</v>
      </c>
      <c r="C10" s="534" t="s">
        <v>326</v>
      </c>
      <c r="D10" s="534"/>
      <c r="E10" s="534"/>
      <c r="F10" s="534"/>
      <c r="G10" s="534"/>
      <c r="H10" s="534"/>
      <c r="I10" s="46">
        <v>4.3499999999999996</v>
      </c>
    </row>
    <row r="11" spans="1:11" x14ac:dyDescent="0.55000000000000004">
      <c r="A11" s="17"/>
      <c r="B11" s="90">
        <v>3</v>
      </c>
      <c r="C11" s="534" t="s">
        <v>325</v>
      </c>
      <c r="D11" s="534"/>
      <c r="E11" s="534"/>
      <c r="F11" s="534"/>
      <c r="G11" s="534"/>
      <c r="H11" s="534"/>
      <c r="I11" s="45">
        <v>20</v>
      </c>
    </row>
    <row r="12" spans="1:11" x14ac:dyDescent="0.55000000000000004">
      <c r="A12" s="17"/>
      <c r="B12" s="236"/>
      <c r="C12" s="237"/>
      <c r="D12" s="237"/>
      <c r="E12" s="237"/>
      <c r="F12" s="237"/>
      <c r="G12" s="237"/>
      <c r="H12" s="237"/>
      <c r="I12" s="71"/>
    </row>
    <row r="13" spans="1:11" x14ac:dyDescent="0.55000000000000004">
      <c r="A13" s="17"/>
      <c r="B13" s="223" t="s">
        <v>96</v>
      </c>
      <c r="C13" s="28"/>
      <c r="D13" s="28"/>
      <c r="E13" s="28"/>
      <c r="F13" s="28"/>
      <c r="G13" s="28"/>
      <c r="H13" s="28"/>
      <c r="I13" s="15"/>
    </row>
    <row r="14" spans="1:11" x14ac:dyDescent="0.55000000000000004">
      <c r="A14" s="17"/>
      <c r="B14" s="223"/>
      <c r="C14" s="595">
        <f>I9</f>
        <v>6</v>
      </c>
      <c r="D14" s="595"/>
      <c r="E14" s="53"/>
      <c r="F14" s="588" t="s">
        <v>83</v>
      </c>
      <c r="G14" s="590">
        <f>IF(I9/I11&lt;=0.2,"บัณฑิตน้อยกว่า 20%",I9/I11*100)</f>
        <v>30</v>
      </c>
      <c r="H14" s="16"/>
      <c r="I14" s="238"/>
    </row>
    <row r="15" spans="1:11" x14ac:dyDescent="0.55000000000000004">
      <c r="A15" s="17"/>
      <c r="B15" s="223"/>
      <c r="C15" s="596">
        <f>I11</f>
        <v>20</v>
      </c>
      <c r="D15" s="596"/>
      <c r="E15" s="24"/>
      <c r="F15" s="589"/>
      <c r="G15" s="590"/>
      <c r="H15" s="16"/>
      <c r="I15" s="238"/>
    </row>
    <row r="16" spans="1:11" x14ac:dyDescent="0.55000000000000004">
      <c r="A16" s="17"/>
      <c r="B16" s="223"/>
      <c r="C16" s="28"/>
      <c r="D16" s="28"/>
      <c r="E16" s="28"/>
      <c r="F16" s="28"/>
      <c r="G16" s="28"/>
      <c r="H16" s="28"/>
      <c r="I16" s="15"/>
    </row>
    <row r="17" spans="1:9" ht="21" customHeight="1" x14ac:dyDescent="0.55000000000000004">
      <c r="A17" s="17"/>
      <c r="B17" s="239"/>
      <c r="C17" s="595">
        <f>I10*I9</f>
        <v>26.099999999999998</v>
      </c>
      <c r="D17" s="595"/>
      <c r="E17" s="53"/>
      <c r="F17" s="588" t="s">
        <v>83</v>
      </c>
      <c r="G17" s="591">
        <f>IF(I9/I11&lt;=0.2,"ไม่มีคะแนน",ROUND(I10,2))</f>
        <v>4.3499999999999996</v>
      </c>
      <c r="H17" s="16"/>
      <c r="I17" s="238"/>
    </row>
    <row r="18" spans="1:9" x14ac:dyDescent="0.55000000000000004">
      <c r="A18" s="17"/>
      <c r="B18" s="239"/>
      <c r="C18" s="597">
        <f>I9</f>
        <v>6</v>
      </c>
      <c r="D18" s="597"/>
      <c r="E18" s="53"/>
      <c r="F18" s="589"/>
      <c r="G18" s="591"/>
      <c r="H18" s="16"/>
      <c r="I18" s="238"/>
    </row>
    <row r="19" spans="1:9" x14ac:dyDescent="0.55000000000000004">
      <c r="A19" s="17"/>
      <c r="B19" s="13" t="s">
        <v>73</v>
      </c>
      <c r="C19" s="14"/>
      <c r="D19" s="14"/>
      <c r="E19" s="14"/>
      <c r="F19" s="14"/>
      <c r="G19" s="14"/>
      <c r="H19" s="14"/>
      <c r="I19" s="15"/>
    </row>
    <row r="20" spans="1:9" s="1" customFormat="1" x14ac:dyDescent="0.55000000000000004">
      <c r="A20" s="32"/>
      <c r="B20" s="470" t="s">
        <v>176</v>
      </c>
      <c r="C20" s="469"/>
      <c r="D20" s="469"/>
      <c r="E20" s="469"/>
      <c r="F20" s="469"/>
      <c r="G20" s="469"/>
      <c r="H20" s="469"/>
      <c r="I20" s="471"/>
    </row>
    <row r="21" spans="1:9" s="1" customFormat="1" x14ac:dyDescent="0.55000000000000004">
      <c r="A21" s="32"/>
      <c r="B21" s="470" t="s">
        <v>176</v>
      </c>
      <c r="C21" s="469"/>
      <c r="D21" s="469"/>
      <c r="E21" s="469"/>
      <c r="F21" s="469"/>
      <c r="G21" s="469"/>
      <c r="H21" s="469"/>
      <c r="I21" s="471"/>
    </row>
    <row r="22" spans="1:9" s="1" customFormat="1" x14ac:dyDescent="0.55000000000000004">
      <c r="A22" s="32"/>
      <c r="B22" s="470" t="s">
        <v>176</v>
      </c>
      <c r="C22" s="469"/>
      <c r="D22" s="469"/>
      <c r="E22" s="469"/>
      <c r="F22" s="469"/>
      <c r="G22" s="469"/>
      <c r="H22" s="469"/>
      <c r="I22" s="471"/>
    </row>
    <row r="23" spans="1:9" s="1" customFormat="1" x14ac:dyDescent="0.55000000000000004">
      <c r="A23" s="32"/>
      <c r="B23" s="470" t="s">
        <v>176</v>
      </c>
      <c r="C23" s="469"/>
      <c r="D23" s="469"/>
      <c r="E23" s="469"/>
      <c r="F23" s="469"/>
      <c r="G23" s="469"/>
      <c r="H23" s="469"/>
      <c r="I23" s="471"/>
    </row>
    <row r="24" spans="1:9" x14ac:dyDescent="0.55000000000000004">
      <c r="A24" s="17"/>
      <c r="B24" s="13" t="s">
        <v>125</v>
      </c>
      <c r="C24" s="14"/>
      <c r="D24" s="14"/>
      <c r="E24" s="14"/>
      <c r="F24" s="14"/>
      <c r="G24" s="14"/>
      <c r="H24" s="14"/>
      <c r="I24" s="15"/>
    </row>
    <row r="25" spans="1:9" s="1" customFormat="1" x14ac:dyDescent="0.55000000000000004">
      <c r="A25" s="32"/>
      <c r="B25" s="470" t="s">
        <v>176</v>
      </c>
      <c r="C25" s="469"/>
      <c r="D25" s="469"/>
      <c r="E25" s="469"/>
      <c r="F25" s="469"/>
      <c r="G25" s="469"/>
      <c r="H25" s="469"/>
      <c r="I25" s="471"/>
    </row>
    <row r="26" spans="1:9" s="1" customFormat="1" x14ac:dyDescent="0.55000000000000004">
      <c r="A26" s="32"/>
      <c r="B26" s="470" t="s">
        <v>176</v>
      </c>
      <c r="C26" s="469"/>
      <c r="D26" s="469"/>
      <c r="E26" s="469"/>
      <c r="F26" s="469"/>
      <c r="G26" s="469"/>
      <c r="H26" s="469"/>
      <c r="I26" s="471"/>
    </row>
    <row r="27" spans="1:9" s="1" customFormat="1" x14ac:dyDescent="0.55000000000000004">
      <c r="A27" s="34"/>
      <c r="B27" s="530" t="s">
        <v>176</v>
      </c>
      <c r="C27" s="531"/>
      <c r="D27" s="531"/>
      <c r="E27" s="531"/>
      <c r="F27" s="531"/>
      <c r="G27" s="531"/>
      <c r="H27" s="531"/>
      <c r="I27" s="532"/>
    </row>
    <row r="28" spans="1:9" x14ac:dyDescent="0.55000000000000004">
      <c r="A28" s="115" t="s">
        <v>11</v>
      </c>
      <c r="B28" s="51"/>
      <c r="C28" s="51"/>
      <c r="D28" s="51"/>
      <c r="E28" s="51"/>
      <c r="F28" s="51"/>
      <c r="G28" s="51"/>
      <c r="H28" s="51"/>
      <c r="I28" s="51"/>
    </row>
    <row r="29" spans="1:9" ht="65.25" x14ac:dyDescent="0.55000000000000004">
      <c r="A29" s="476" t="s">
        <v>12</v>
      </c>
      <c r="B29" s="476"/>
      <c r="C29" s="476"/>
      <c r="D29" s="476"/>
      <c r="E29" s="476"/>
      <c r="F29" s="121" t="s">
        <v>13</v>
      </c>
      <c r="G29" s="121" t="s">
        <v>14</v>
      </c>
      <c r="H29" s="121" t="s">
        <v>403</v>
      </c>
      <c r="I29" s="121" t="s">
        <v>16</v>
      </c>
    </row>
    <row r="30" spans="1:9" ht="48" customHeight="1" x14ac:dyDescent="0.55000000000000004">
      <c r="A30" s="477" t="s">
        <v>97</v>
      </c>
      <c r="B30" s="477"/>
      <c r="C30" s="477"/>
      <c r="D30" s="477"/>
      <c r="E30" s="477"/>
      <c r="F30" s="171">
        <v>4</v>
      </c>
      <c r="G30" s="49">
        <f>IF(K5=TRUE,I10,IF(K5=FALSE,""))</f>
        <v>4.3499999999999996</v>
      </c>
      <c r="H30" s="41">
        <f>IF(K5=TRUE,I10,IF(K5=FALSE,"ไม่ประเมิน"))</f>
        <v>4.3499999999999996</v>
      </c>
      <c r="I30" s="88" t="str">
        <f>IF(G30&gt;=F30,"บรรลุ","ไม่บรรลุ")</f>
        <v>บรรลุ</v>
      </c>
    </row>
    <row r="31" spans="1:9" s="1" customFormat="1" x14ac:dyDescent="0.55000000000000004"/>
    <row r="32" spans="1:9" s="1" customFormat="1" x14ac:dyDescent="0.55000000000000004"/>
    <row r="33" s="1" customFormat="1" x14ac:dyDescent="0.55000000000000004"/>
  </sheetData>
  <sheetProtection sheet="1" objects="1" scenarios="1" formatCells="0" formatRows="0" insertRows="0" deleteRows="0"/>
  <mergeCells count="24">
    <mergeCell ref="A29:E29"/>
    <mergeCell ref="A30:E30"/>
    <mergeCell ref="B27:I27"/>
    <mergeCell ref="B21:I21"/>
    <mergeCell ref="B22:I22"/>
    <mergeCell ref="B23:I23"/>
    <mergeCell ref="B26:I26"/>
    <mergeCell ref="C10:H10"/>
    <mergeCell ref="C11:H11"/>
    <mergeCell ref="B25:I25"/>
    <mergeCell ref="B20:I20"/>
    <mergeCell ref="C14:D14"/>
    <mergeCell ref="C15:D15"/>
    <mergeCell ref="C17:D17"/>
    <mergeCell ref="C18:D18"/>
    <mergeCell ref="F14:F15"/>
    <mergeCell ref="G14:G15"/>
    <mergeCell ref="F17:F18"/>
    <mergeCell ref="G17:G18"/>
    <mergeCell ref="A1:I1"/>
    <mergeCell ref="B3:I3"/>
    <mergeCell ref="B6:I6"/>
    <mergeCell ref="C8:H8"/>
    <mergeCell ref="C9:H9"/>
  </mergeCells>
  <conditionalFormatting sqref="H30">
    <cfRule type="cellIs" dxfId="92" priority="1" operator="equal">
      <formula>"ไม่ประเมิน"</formula>
    </cfRule>
  </conditionalFormatting>
  <hyperlinks>
    <hyperlink ref="J3" location="ข้อมูลพื้นฐาน!A1" display="Main Menu"/>
    <hyperlink ref="J5" location="'หมวด3-2.2(ตรี)'!A1" display="Next &gt;&gt; ตัวบ่งชี้ที่ 2.2"/>
    <hyperlink ref="J4" location="'หมวด2-4.3'!A1" display="&lt;&lt; Previois ตัวบ่งชี้ที่ 4.3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1" r:id="rId4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4</xdr:row>
                    <xdr:rowOff>9525</xdr:rowOff>
                  </from>
                  <to>
                    <xdr:col>8</xdr:col>
                    <xdr:colOff>276225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theme="7" tint="0.79998168889431442"/>
  </sheetPr>
  <dimension ref="A1:L43"/>
  <sheetViews>
    <sheetView showGridLines="0" zoomScale="115" zoomScaleNormal="115" zoomScaleSheetLayoutView="115" workbookViewId="0">
      <selection activeCell="J40" sqref="J40"/>
    </sheetView>
  </sheetViews>
  <sheetFormatPr defaultRowHeight="24" x14ac:dyDescent="0.55000000000000004"/>
  <cols>
    <col min="1" max="1" width="6.375" style="2" customWidth="1"/>
    <col min="2" max="2" width="4.375" style="2" customWidth="1"/>
    <col min="3" max="4" width="8.875" style="2" customWidth="1"/>
    <col min="5" max="5" width="3.25" style="2" customWidth="1"/>
    <col min="6" max="9" width="12.125" style="2" customWidth="1"/>
    <col min="10" max="10" width="28.125" style="2" bestFit="1" customWidth="1"/>
    <col min="11" max="11" width="17.875" style="2" hidden="1" customWidth="1"/>
    <col min="12" max="12" width="10.75" style="2" bestFit="1" customWidth="1"/>
    <col min="13" max="16" width="8.875" style="2" customWidth="1"/>
    <col min="17" max="16384" width="9" style="2"/>
  </cols>
  <sheetData>
    <row r="1" spans="1:11" x14ac:dyDescent="0.55000000000000004">
      <c r="A1" s="37" t="s">
        <v>90</v>
      </c>
    </row>
    <row r="2" spans="1:11" ht="21" customHeight="1" x14ac:dyDescent="0.55000000000000004">
      <c r="A2" s="89" t="s">
        <v>12</v>
      </c>
      <c r="B2" s="472" t="s">
        <v>23</v>
      </c>
      <c r="C2" s="472"/>
      <c r="D2" s="472"/>
      <c r="E2" s="472"/>
      <c r="F2" s="472"/>
      <c r="G2" s="472"/>
      <c r="H2" s="472"/>
      <c r="I2" s="472"/>
      <c r="K2" s="2" t="s">
        <v>462</v>
      </c>
    </row>
    <row r="3" spans="1:11" x14ac:dyDescent="0.55000000000000004">
      <c r="A3" s="12">
        <v>2.2000000000000002</v>
      </c>
      <c r="B3" s="579" t="str">
        <f>IF(OR(เกณฑ์=1,เกณฑ์=2),"ร้อยละของบัณฑิตปริญญาตรีที่ได้งานทำหรือประกอบอาชีพอิสระภายใน 1 ปี"," - ไม่ประเมินตัวบ่งชี้นี้ สำหรับปริญญาตรีเท่านั้น")</f>
        <v>ร้อยละของบัณฑิตปริญญาตรีที่ได้งานทำหรือประกอบอาชีพอิสระภายใน 1 ปี</v>
      </c>
      <c r="C3" s="580"/>
      <c r="D3" s="580"/>
      <c r="E3" s="580"/>
      <c r="F3" s="580"/>
      <c r="G3" s="580"/>
      <c r="H3" s="580"/>
      <c r="I3" s="581"/>
      <c r="J3" s="181" t="s">
        <v>346</v>
      </c>
    </row>
    <row r="4" spans="1:11" s="1" customFormat="1" x14ac:dyDescent="0.55000000000000004">
      <c r="A4" s="32"/>
      <c r="B4" s="33" t="s">
        <v>28</v>
      </c>
      <c r="C4" s="31"/>
      <c r="D4" s="31"/>
      <c r="E4" s="31"/>
      <c r="F4" s="31"/>
      <c r="G4" s="42" t="s">
        <v>229</v>
      </c>
      <c r="H4" s="43"/>
      <c r="I4" s="44"/>
      <c r="J4" s="182" t="s">
        <v>375</v>
      </c>
      <c r="K4" s="1" t="b">
        <v>1</v>
      </c>
    </row>
    <row r="5" spans="1:11" ht="43.5" customHeight="1" x14ac:dyDescent="0.55000000000000004">
      <c r="A5" s="17"/>
      <c r="B5" s="525" t="str">
        <f>"    ร้อยละของบัณฑิตปริญญาตรีที่ได้งานทำหรือประกอบอาชีพอิสระภายใน 1 ปี ของหลักสูตร "&amp;ข้อมูลพื้นฐาน!C2&amp;" สาขาวิชา "&amp;ข้อมูลพื้นฐาน!C3&amp;" เท่ากับ ร้อยละ "&amp;ROUND(H21,2)&amp;" คิดเป็น "&amp;H26&amp;" คะแนน  โดยแสดงวิธีการคำนวณ ดังนี้"</f>
        <v xml:space="preserve">    ร้อยละของบัณฑิตปริญญาตรีที่ได้งานทำหรือประกอบอาชีพอิสระภายใน 1 ปี ของหลักสูตร วิทยาศาสตรบัณฑิต สาขาวิชา อิเล็กทรอนิกส์สื่อสาร เท่ากับ ร้อยละ 75 คิดเป็น 3.75 คะแนน  โดยแสดงวิธีการคำนวณ ดังนี้</v>
      </c>
      <c r="C5" s="525"/>
      <c r="D5" s="525"/>
      <c r="E5" s="525"/>
      <c r="F5" s="525"/>
      <c r="G5" s="525"/>
      <c r="H5" s="525"/>
      <c r="I5" s="526"/>
      <c r="J5" s="183" t="s">
        <v>376</v>
      </c>
    </row>
    <row r="6" spans="1:11" x14ac:dyDescent="0.55000000000000004">
      <c r="A6" s="17"/>
      <c r="B6" s="48" t="s">
        <v>47</v>
      </c>
      <c r="C6" s="14"/>
      <c r="D6" s="14"/>
      <c r="E6" s="14"/>
      <c r="F6" s="14"/>
      <c r="G6" s="14"/>
      <c r="H6" s="14"/>
      <c r="I6" s="15"/>
    </row>
    <row r="7" spans="1:11" ht="21" customHeight="1" x14ac:dyDescent="0.55000000000000004">
      <c r="A7" s="17"/>
      <c r="B7" s="89" t="s">
        <v>94</v>
      </c>
      <c r="C7" s="472" t="s">
        <v>95</v>
      </c>
      <c r="D7" s="472"/>
      <c r="E7" s="472"/>
      <c r="F7" s="472"/>
      <c r="G7" s="472"/>
      <c r="H7" s="472"/>
      <c r="I7" s="89" t="s">
        <v>50</v>
      </c>
    </row>
    <row r="8" spans="1:11" x14ac:dyDescent="0.55000000000000004">
      <c r="A8" s="17"/>
      <c r="B8" s="126">
        <v>1</v>
      </c>
      <c r="C8" s="599" t="s">
        <v>98</v>
      </c>
      <c r="D8" s="600"/>
      <c r="E8" s="600"/>
      <c r="F8" s="600"/>
      <c r="G8" s="600"/>
      <c r="H8" s="601"/>
      <c r="I8" s="179">
        <v>12</v>
      </c>
    </row>
    <row r="9" spans="1:11" ht="40.5" customHeight="1" x14ac:dyDescent="0.55000000000000004">
      <c r="A9" s="17"/>
      <c r="B9" s="126">
        <v>2</v>
      </c>
      <c r="C9" s="599" t="s">
        <v>344</v>
      </c>
      <c r="D9" s="600"/>
      <c r="E9" s="600"/>
      <c r="F9" s="600"/>
      <c r="G9" s="600"/>
      <c r="H9" s="601"/>
      <c r="I9" s="50">
        <v>9</v>
      </c>
    </row>
    <row r="10" spans="1:11" x14ac:dyDescent="0.55000000000000004">
      <c r="A10" s="17"/>
      <c r="B10" s="126">
        <v>3</v>
      </c>
      <c r="C10" s="599" t="s">
        <v>99</v>
      </c>
      <c r="D10" s="600"/>
      <c r="E10" s="600"/>
      <c r="F10" s="600"/>
      <c r="G10" s="600"/>
      <c r="H10" s="601"/>
      <c r="I10" s="45"/>
    </row>
    <row r="11" spans="1:11" x14ac:dyDescent="0.55000000000000004">
      <c r="A11" s="17"/>
      <c r="B11" s="126">
        <v>4</v>
      </c>
      <c r="C11" s="599" t="s">
        <v>100</v>
      </c>
      <c r="D11" s="600"/>
      <c r="E11" s="600"/>
      <c r="F11" s="600"/>
      <c r="G11" s="600"/>
      <c r="H11" s="601"/>
      <c r="I11" s="45"/>
    </row>
    <row r="12" spans="1:11" x14ac:dyDescent="0.55000000000000004">
      <c r="A12" s="17"/>
      <c r="B12" s="126">
        <v>5</v>
      </c>
      <c r="C12" s="599" t="s">
        <v>101</v>
      </c>
      <c r="D12" s="600"/>
      <c r="E12" s="600"/>
      <c r="F12" s="600"/>
      <c r="G12" s="600"/>
      <c r="H12" s="601"/>
      <c r="I12" s="45"/>
    </row>
    <row r="13" spans="1:11" x14ac:dyDescent="0.55000000000000004">
      <c r="A13" s="17"/>
      <c r="B13" s="126">
        <v>6</v>
      </c>
      <c r="C13" s="599" t="s">
        <v>102</v>
      </c>
      <c r="D13" s="600"/>
      <c r="E13" s="600"/>
      <c r="F13" s="600"/>
      <c r="G13" s="600"/>
      <c r="H13" s="601"/>
      <c r="I13" s="45"/>
    </row>
    <row r="14" spans="1:11" x14ac:dyDescent="0.55000000000000004">
      <c r="A14" s="17"/>
      <c r="B14" s="126">
        <v>7</v>
      </c>
      <c r="C14" s="599" t="s">
        <v>103</v>
      </c>
      <c r="D14" s="600"/>
      <c r="E14" s="600"/>
      <c r="F14" s="600"/>
      <c r="G14" s="600"/>
      <c r="H14" s="601"/>
      <c r="I14" s="179">
        <v>12</v>
      </c>
    </row>
    <row r="15" spans="1:11" x14ac:dyDescent="0.55000000000000004">
      <c r="A15" s="17"/>
      <c r="B15" s="126">
        <v>8</v>
      </c>
      <c r="C15" s="599" t="s">
        <v>104</v>
      </c>
      <c r="D15" s="600"/>
      <c r="E15" s="600"/>
      <c r="F15" s="600"/>
      <c r="G15" s="600"/>
      <c r="H15" s="601"/>
      <c r="I15" s="45"/>
    </row>
    <row r="16" spans="1:11" x14ac:dyDescent="0.55000000000000004">
      <c r="A16" s="17"/>
      <c r="B16" s="126">
        <v>9</v>
      </c>
      <c r="C16" s="599" t="s">
        <v>105</v>
      </c>
      <c r="D16" s="600"/>
      <c r="E16" s="600"/>
      <c r="F16" s="600"/>
      <c r="G16" s="600"/>
      <c r="H16" s="601"/>
      <c r="I16" s="45"/>
    </row>
    <row r="17" spans="1:9" x14ac:dyDescent="0.55000000000000004">
      <c r="A17" s="17"/>
      <c r="B17" s="47"/>
      <c r="C17" s="28"/>
      <c r="D17" s="28"/>
      <c r="E17" s="28"/>
      <c r="F17" s="28"/>
      <c r="G17" s="28"/>
      <c r="H17" s="28"/>
      <c r="I17" s="130"/>
    </row>
    <row r="18" spans="1:9" x14ac:dyDescent="0.55000000000000004">
      <c r="A18" s="17"/>
      <c r="B18" s="131" t="s">
        <v>96</v>
      </c>
      <c r="C18" s="28"/>
      <c r="D18" s="28"/>
      <c r="E18" s="28"/>
      <c r="F18" s="28"/>
      <c r="G18" s="28"/>
      <c r="H18" s="28"/>
      <c r="I18" s="15"/>
    </row>
    <row r="19" spans="1:9" x14ac:dyDescent="0.55000000000000004">
      <c r="A19" s="17"/>
      <c r="B19" s="40" t="s">
        <v>106</v>
      </c>
      <c r="C19" s="28"/>
      <c r="D19" s="28"/>
      <c r="E19" s="28"/>
      <c r="F19" s="28"/>
      <c r="G19" s="28"/>
      <c r="H19" s="28"/>
      <c r="I19" s="15"/>
    </row>
    <row r="20" spans="1:9" ht="12" customHeight="1" x14ac:dyDescent="0.55000000000000004">
      <c r="A20" s="17"/>
      <c r="B20" s="40"/>
      <c r="C20" s="28"/>
      <c r="D20" s="28"/>
      <c r="E20" s="28"/>
      <c r="F20" s="28"/>
      <c r="G20" s="28"/>
      <c r="H20" s="28"/>
      <c r="I20" s="15"/>
    </row>
    <row r="21" spans="1:9" x14ac:dyDescent="0.55000000000000004">
      <c r="A21" s="17"/>
      <c r="B21" s="91"/>
      <c r="C21" s="51"/>
      <c r="D21" s="51"/>
      <c r="E21" s="604">
        <f>I9+I15</f>
        <v>9</v>
      </c>
      <c r="F21" s="604"/>
      <c r="G21" s="602" t="s">
        <v>35</v>
      </c>
      <c r="H21" s="590">
        <f>IF(I8/I14&lt;=0.7,"บัณฑิตน้อยกว่า 70%",ROUND(E21/E22*100,2))</f>
        <v>75</v>
      </c>
      <c r="I21" s="132"/>
    </row>
    <row r="22" spans="1:9" x14ac:dyDescent="0.55000000000000004">
      <c r="A22" s="17"/>
      <c r="B22" s="91"/>
      <c r="C22" s="51"/>
      <c r="D22" s="51"/>
      <c r="E22" s="596">
        <f>I8-I10-I11-I12-I13-I16</f>
        <v>12</v>
      </c>
      <c r="F22" s="596"/>
      <c r="G22" s="602"/>
      <c r="H22" s="590"/>
      <c r="I22" s="132"/>
    </row>
    <row r="23" spans="1:9" ht="12" customHeight="1" x14ac:dyDescent="0.55000000000000004">
      <c r="A23" s="17"/>
      <c r="B23" s="91"/>
      <c r="C23" s="95"/>
      <c r="D23" s="95"/>
      <c r="E23" s="95"/>
      <c r="F23" s="95"/>
      <c r="G23" s="95"/>
      <c r="H23" s="52"/>
      <c r="I23" s="133"/>
    </row>
    <row r="24" spans="1:9" x14ac:dyDescent="0.55000000000000004">
      <c r="A24" s="17"/>
      <c r="B24" s="40" t="s">
        <v>55</v>
      </c>
      <c r="C24" s="28"/>
      <c r="D24" s="28"/>
      <c r="E24" s="28"/>
      <c r="F24" s="28"/>
      <c r="G24" s="28"/>
      <c r="H24" s="28"/>
      <c r="I24" s="15"/>
    </row>
    <row r="25" spans="1:9" ht="12" customHeight="1" x14ac:dyDescent="0.55000000000000004">
      <c r="A25" s="17"/>
      <c r="B25" s="40"/>
      <c r="C25" s="28"/>
      <c r="D25" s="28"/>
      <c r="E25" s="28"/>
      <c r="F25" s="28"/>
      <c r="G25" s="28"/>
      <c r="H25" s="28"/>
      <c r="I25" s="15"/>
    </row>
    <row r="26" spans="1:9" ht="21" customHeight="1" x14ac:dyDescent="0.55000000000000004">
      <c r="A26" s="17"/>
      <c r="B26" s="47"/>
      <c r="C26" s="53"/>
      <c r="D26" s="53"/>
      <c r="E26" s="603">
        <f>H21</f>
        <v>75</v>
      </c>
      <c r="F26" s="603"/>
      <c r="G26" s="602" t="s">
        <v>56</v>
      </c>
      <c r="H26" s="598">
        <f>IF(E26/E27*5&gt;100,5,ROUND(E26/E27*5,2))</f>
        <v>3.75</v>
      </c>
      <c r="I26" s="134"/>
    </row>
    <row r="27" spans="1:9" x14ac:dyDescent="0.55000000000000004">
      <c r="A27" s="17"/>
      <c r="B27" s="47"/>
      <c r="C27" s="53"/>
      <c r="D27" s="53"/>
      <c r="E27" s="602">
        <v>100</v>
      </c>
      <c r="F27" s="602"/>
      <c r="G27" s="602"/>
      <c r="H27" s="598"/>
      <c r="I27" s="134"/>
    </row>
    <row r="28" spans="1:9" ht="12" customHeight="1" x14ac:dyDescent="0.55000000000000004">
      <c r="A28" s="17"/>
      <c r="B28" s="47"/>
      <c r="C28" s="92"/>
      <c r="D28" s="92"/>
      <c r="E28" s="92"/>
      <c r="F28" s="92"/>
      <c r="G28" s="92"/>
      <c r="H28" s="93"/>
      <c r="I28" s="94"/>
    </row>
    <row r="29" spans="1:9" x14ac:dyDescent="0.55000000000000004">
      <c r="A29" s="17"/>
      <c r="B29" s="48" t="s">
        <v>73</v>
      </c>
      <c r="C29" s="14"/>
      <c r="D29" s="14"/>
      <c r="E29" s="14"/>
      <c r="F29" s="14"/>
      <c r="G29" s="14"/>
      <c r="H29" s="14"/>
      <c r="I29" s="15"/>
    </row>
    <row r="30" spans="1:9" s="1" customFormat="1" x14ac:dyDescent="0.55000000000000004">
      <c r="A30" s="32"/>
      <c r="B30" s="469"/>
      <c r="C30" s="469"/>
      <c r="D30" s="469"/>
      <c r="E30" s="469"/>
      <c r="F30" s="469"/>
      <c r="G30" s="469"/>
      <c r="H30" s="469"/>
      <c r="I30" s="471"/>
    </row>
    <row r="31" spans="1:9" s="1" customFormat="1" x14ac:dyDescent="0.55000000000000004">
      <c r="A31" s="32"/>
      <c r="B31" s="469"/>
      <c r="C31" s="469"/>
      <c r="D31" s="469"/>
      <c r="E31" s="469"/>
      <c r="F31" s="469"/>
      <c r="G31" s="469"/>
      <c r="H31" s="469"/>
      <c r="I31" s="471"/>
    </row>
    <row r="32" spans="1:9" s="1" customFormat="1" x14ac:dyDescent="0.55000000000000004">
      <c r="A32" s="32"/>
      <c r="B32" s="469"/>
      <c r="C32" s="469"/>
      <c r="D32" s="469"/>
      <c r="E32" s="469"/>
      <c r="F32" s="469"/>
      <c r="G32" s="469"/>
      <c r="H32" s="469"/>
      <c r="I32" s="471"/>
    </row>
    <row r="33" spans="1:12" s="1" customFormat="1" x14ac:dyDescent="0.55000000000000004">
      <c r="A33" s="32"/>
      <c r="B33" s="469"/>
      <c r="C33" s="469"/>
      <c r="D33" s="469"/>
      <c r="E33" s="469"/>
      <c r="F33" s="469"/>
      <c r="G33" s="469"/>
      <c r="H33" s="469"/>
      <c r="I33" s="471"/>
    </row>
    <row r="34" spans="1:12" x14ac:dyDescent="0.55000000000000004">
      <c r="A34" s="17"/>
      <c r="B34" s="48" t="s">
        <v>125</v>
      </c>
      <c r="C34" s="14"/>
      <c r="D34" s="14"/>
      <c r="E34" s="14"/>
      <c r="F34" s="14"/>
      <c r="G34" s="14"/>
      <c r="H34" s="14"/>
      <c r="I34" s="15"/>
    </row>
    <row r="35" spans="1:12" s="1" customFormat="1" x14ac:dyDescent="0.55000000000000004">
      <c r="A35" s="32"/>
      <c r="B35" s="469"/>
      <c r="C35" s="469"/>
      <c r="D35" s="469"/>
      <c r="E35" s="469"/>
      <c r="F35" s="469"/>
      <c r="G35" s="469"/>
      <c r="H35" s="469"/>
      <c r="I35" s="471"/>
    </row>
    <row r="36" spans="1:12" s="1" customFormat="1" x14ac:dyDescent="0.55000000000000004">
      <c r="A36" s="32"/>
      <c r="B36" s="469"/>
      <c r="C36" s="469"/>
      <c r="D36" s="469"/>
      <c r="E36" s="469"/>
      <c r="F36" s="469"/>
      <c r="G36" s="469"/>
      <c r="H36" s="469"/>
      <c r="I36" s="471"/>
    </row>
    <row r="37" spans="1:12" s="1" customFormat="1" x14ac:dyDescent="0.55000000000000004">
      <c r="A37" s="34"/>
      <c r="B37" s="531"/>
      <c r="C37" s="531"/>
      <c r="D37" s="531"/>
      <c r="E37" s="531"/>
      <c r="F37" s="531"/>
      <c r="G37" s="531"/>
      <c r="H37" s="531"/>
      <c r="I37" s="532"/>
    </row>
    <row r="38" spans="1:12" x14ac:dyDescent="0.55000000000000004">
      <c r="A38" s="115" t="s">
        <v>11</v>
      </c>
      <c r="B38" s="51"/>
      <c r="C38" s="51"/>
      <c r="D38" s="51"/>
      <c r="E38" s="51"/>
      <c r="F38" s="51"/>
      <c r="G38" s="51"/>
      <c r="H38" s="51"/>
      <c r="I38" s="51"/>
    </row>
    <row r="39" spans="1:12" ht="65.25" x14ac:dyDescent="0.55000000000000004">
      <c r="A39" s="476" t="s">
        <v>12</v>
      </c>
      <c r="B39" s="476"/>
      <c r="C39" s="476"/>
      <c r="D39" s="476"/>
      <c r="E39" s="476"/>
      <c r="F39" s="121" t="s">
        <v>13</v>
      </c>
      <c r="G39" s="121" t="s">
        <v>14</v>
      </c>
      <c r="H39" s="121" t="s">
        <v>15</v>
      </c>
      <c r="I39" s="121" t="s">
        <v>16</v>
      </c>
    </row>
    <row r="40" spans="1:12" ht="40.5" customHeight="1" x14ac:dyDescent="0.55000000000000004">
      <c r="A40" s="477" t="s">
        <v>415</v>
      </c>
      <c r="B40" s="477"/>
      <c r="C40" s="477"/>
      <c r="D40" s="477"/>
      <c r="E40" s="477"/>
      <c r="F40" s="172">
        <v>80</v>
      </c>
      <c r="G40" s="54">
        <f>IF(K4=TRUE,E26,IF(K4=FALSE,""))</f>
        <v>75</v>
      </c>
      <c r="H40" s="41">
        <f>IF(K4=TRUE,H26,IF(K4=FALSE,"ไม่ประเมิน"))</f>
        <v>3.75</v>
      </c>
      <c r="I40" s="88" t="str">
        <f>IF(G40&gt;=F40,"บรรลุ","ไม่บรรลุ")</f>
        <v>ไม่บรรลุ</v>
      </c>
      <c r="K40" s="135"/>
      <c r="L40" s="136"/>
    </row>
    <row r="41" spans="1:12" s="1" customFormat="1" x14ac:dyDescent="0.55000000000000004"/>
    <row r="42" spans="1:12" s="1" customFormat="1" x14ac:dyDescent="0.55000000000000004"/>
    <row r="43" spans="1:12" s="1" customFormat="1" x14ac:dyDescent="0.55000000000000004"/>
  </sheetData>
  <sheetProtection sheet="1" objects="1" scenarios="1" formatCells="0" formatRows="0" insertRows="0" deleteRows="0"/>
  <mergeCells count="30">
    <mergeCell ref="C10:H10"/>
    <mergeCell ref="C15:H15"/>
    <mergeCell ref="C16:H16"/>
    <mergeCell ref="E21:F21"/>
    <mergeCell ref="B2:I2"/>
    <mergeCell ref="B5:I5"/>
    <mergeCell ref="C7:H7"/>
    <mergeCell ref="C8:H8"/>
    <mergeCell ref="C9:H9"/>
    <mergeCell ref="H21:H22"/>
    <mergeCell ref="B3:I3"/>
    <mergeCell ref="B37:I37"/>
    <mergeCell ref="A39:E39"/>
    <mergeCell ref="A40:E40"/>
    <mergeCell ref="B30:I30"/>
    <mergeCell ref="B31:I31"/>
    <mergeCell ref="B32:I32"/>
    <mergeCell ref="B33:I33"/>
    <mergeCell ref="B35:I35"/>
    <mergeCell ref="B36:I36"/>
    <mergeCell ref="H26:H27"/>
    <mergeCell ref="C11:H11"/>
    <mergeCell ref="C12:H12"/>
    <mergeCell ref="C13:H13"/>
    <mergeCell ref="C14:H14"/>
    <mergeCell ref="E22:F22"/>
    <mergeCell ref="G21:G22"/>
    <mergeCell ref="E26:F26"/>
    <mergeCell ref="E27:F27"/>
    <mergeCell ref="G26:G27"/>
  </mergeCells>
  <conditionalFormatting sqref="H40">
    <cfRule type="cellIs" dxfId="91" priority="2" operator="equal">
      <formula>"ไม่ประเมิน"</formula>
    </cfRule>
  </conditionalFormatting>
  <conditionalFormatting sqref="B3:I3">
    <cfRule type="cellIs" dxfId="90" priority="1" operator="equal">
      <formula>$K$2</formula>
    </cfRule>
  </conditionalFormatting>
  <hyperlinks>
    <hyperlink ref="J3" location="ข้อมูลพื้นฐาน!A1" display="Main Menu"/>
    <hyperlink ref="J5" location="'หมวด3-2.2(โท)'!A1" display="Next &gt;&gt; ตัวบ่งชี้ที่ 2.2 (ปริญญาโท)"/>
    <hyperlink ref="J4" location="'หมวด3-2.1'!A1" display="&lt;&lt; Previois ตัวบ่งชี้ที่ 2.1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8</xdr:col>
                    <xdr:colOff>161925</xdr:colOff>
                    <xdr:row>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theme="7" tint="0.79998168889431442"/>
  </sheetPr>
  <dimension ref="A1:W33"/>
  <sheetViews>
    <sheetView showGridLines="0" zoomScale="115" zoomScaleNormal="115" zoomScaleSheetLayoutView="115" workbookViewId="0">
      <selection activeCell="J17" sqref="J17"/>
    </sheetView>
  </sheetViews>
  <sheetFormatPr defaultRowHeight="24" x14ac:dyDescent="0.55000000000000004"/>
  <cols>
    <col min="1" max="1" width="6.125" style="2" customWidth="1"/>
    <col min="2" max="2" width="3.75" style="2" customWidth="1"/>
    <col min="3" max="20" width="3.375" style="2" customWidth="1"/>
    <col min="21" max="22" width="3.75" style="2" customWidth="1"/>
    <col min="23" max="23" width="31.875" style="2" bestFit="1" customWidth="1"/>
    <col min="24" max="16384" width="9" style="2"/>
  </cols>
  <sheetData>
    <row r="1" spans="1:23" x14ac:dyDescent="0.55000000000000004">
      <c r="A1" s="218" t="s">
        <v>12</v>
      </c>
      <c r="B1" s="521" t="s">
        <v>23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3"/>
    </row>
    <row r="2" spans="1:23" x14ac:dyDescent="0.55000000000000004">
      <c r="A2" s="12">
        <v>2.2000000000000002</v>
      </c>
      <c r="B2" s="13" t="s">
        <v>150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W2" s="181" t="s">
        <v>346</v>
      </c>
    </row>
    <row r="3" spans="1:23" x14ac:dyDescent="0.55000000000000004">
      <c r="A3" s="17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82" t="s">
        <v>377</v>
      </c>
    </row>
    <row r="4" spans="1:23" x14ac:dyDescent="0.55000000000000004">
      <c r="A4" s="17"/>
      <c r="B4" s="13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83" t="s">
        <v>378</v>
      </c>
    </row>
    <row r="5" spans="1:23" ht="83.25" customHeight="1" x14ac:dyDescent="0.55000000000000004">
      <c r="A5" s="17"/>
      <c r="B5" s="524" t="str">
        <f>"             ผลงานของนักศึกษาและผู้สำเร็จการศึกษาในระดับปริญญาโทที่ได้รับการตีพิมพ์หรือเผยแพร่ ของหลักสูตร "&amp;ข้อมูลพื้นฐาน!C2&amp;"  สาขาวิชา"&amp;ข้อมูลพื้นฐาน!C3&amp;"  มีทั้งหมดจำนวน "&amp;U18&amp;"  เรื่อง ค่าร้อยละของผลรวมถ่วงน้ำหนักของผลงานของนักศึกษาและผู้สำเร็จการศึกษาในระดับปริญญาโทที่ได้รับการตีพิมพ์หรือเผยแพร่เท่ากับ ร้อยละ "&amp;K8&amp;"  คะแนนที่ได้เท่ากับ "&amp;K11&amp;" คะแนนโดยแสดงวิธีการคำนวณ ดังนี้"</f>
        <v xml:space="preserve">             ผลงานของนักศึกษาและผู้สำเร็จการศึกษาในระดับปริญญาโทที่ได้รับการตีพิมพ์หรือเผยแพร่ ของหลักสูตร วิทยาศาสตรบัณฑิต  สาขาวิชาอิเล็กทรอนิกส์สื่อสาร  มีทั้งหมดจำนวน 1  เรื่อง ค่าร้อยละของผลรวมถ่วงน้ำหนักของผลงานของนักศึกษาและผู้สำเร็จการศึกษาในระดับปริญญาโทที่ได้รับการตีพิมพ์หรือเผยแพร่เท่ากับ ร้อยละ 0  คะแนนที่ได้เท่ากับ 0 คะแนนโดยแสดงวิธีการคำนวณ ดังนี้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6"/>
    </row>
    <row r="6" spans="1:23" x14ac:dyDescent="0.55000000000000004">
      <c r="A6" s="17"/>
      <c r="B6" s="13" t="s">
        <v>33</v>
      </c>
      <c r="C6" s="24"/>
      <c r="D6" s="24"/>
      <c r="E6" s="24"/>
      <c r="F6" s="24"/>
      <c r="G6" s="2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3" x14ac:dyDescent="0.55000000000000004">
      <c r="A7" s="17"/>
      <c r="B7" s="40" t="s">
        <v>330</v>
      </c>
      <c r="C7" s="24"/>
      <c r="D7" s="24"/>
      <c r="E7" s="24"/>
      <c r="F7" s="24"/>
      <c r="G7" s="2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3" x14ac:dyDescent="0.55000000000000004">
      <c r="A8" s="17"/>
      <c r="B8" s="18"/>
      <c r="C8" s="14"/>
      <c r="D8" s="14"/>
      <c r="E8" s="14"/>
      <c r="F8" s="24"/>
      <c r="G8" s="511">
        <f>U17</f>
        <v>0</v>
      </c>
      <c r="H8" s="511"/>
      <c r="I8" s="497" t="s">
        <v>35</v>
      </c>
      <c r="J8" s="497"/>
      <c r="K8" s="495">
        <f>ROUND((G8/G9)*100,2)</f>
        <v>0</v>
      </c>
      <c r="L8" s="495"/>
      <c r="M8" s="495"/>
      <c r="N8" s="14"/>
      <c r="O8" s="14"/>
      <c r="P8" s="14"/>
      <c r="Q8" s="14"/>
      <c r="R8" s="14"/>
      <c r="S8" s="14"/>
      <c r="T8" s="14"/>
      <c r="U8" s="14"/>
      <c r="V8" s="15"/>
    </row>
    <row r="9" spans="1:23" x14ac:dyDescent="0.55000000000000004">
      <c r="A9" s="17"/>
      <c r="B9" s="18"/>
      <c r="C9" s="14"/>
      <c r="D9" s="26"/>
      <c r="E9" s="26"/>
      <c r="F9" s="24"/>
      <c r="G9" s="613">
        <f>U18</f>
        <v>1</v>
      </c>
      <c r="H9" s="497"/>
      <c r="I9" s="497"/>
      <c r="J9" s="497"/>
      <c r="K9" s="495"/>
      <c r="L9" s="495"/>
      <c r="M9" s="495"/>
      <c r="N9" s="14"/>
      <c r="O9" s="14"/>
      <c r="P9" s="14"/>
      <c r="Q9" s="14"/>
      <c r="R9" s="14"/>
      <c r="S9" s="14"/>
      <c r="T9" s="14"/>
      <c r="U9" s="14"/>
      <c r="V9" s="15"/>
    </row>
    <row r="10" spans="1:23" x14ac:dyDescent="0.55000000000000004">
      <c r="A10" s="17"/>
      <c r="B10" s="25" t="s">
        <v>55</v>
      </c>
      <c r="C10" s="24"/>
      <c r="D10" s="24"/>
      <c r="E10" s="24"/>
      <c r="F10" s="24"/>
      <c r="G10" s="2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3" x14ac:dyDescent="0.55000000000000004">
      <c r="A11" s="17"/>
      <c r="B11" s="18"/>
      <c r="C11" s="14"/>
      <c r="D11" s="14"/>
      <c r="E11" s="14"/>
      <c r="F11" s="24"/>
      <c r="G11" s="511">
        <f>K8</f>
        <v>0</v>
      </c>
      <c r="H11" s="511"/>
      <c r="I11" s="497" t="s">
        <v>56</v>
      </c>
      <c r="J11" s="497"/>
      <c r="K11" s="496">
        <f>IF((G11/G12)*5&gt;5,5,ROUND((G11/G12)*5,2))</f>
        <v>0</v>
      </c>
      <c r="L11" s="496"/>
      <c r="M11" s="496"/>
      <c r="N11" s="14"/>
      <c r="O11" s="14"/>
      <c r="P11" s="14"/>
      <c r="Q11" s="14"/>
      <c r="R11" s="14"/>
      <c r="S11" s="14"/>
      <c r="T11" s="14"/>
      <c r="U11" s="14"/>
      <c r="V11" s="15"/>
    </row>
    <row r="12" spans="1:23" x14ac:dyDescent="0.55000000000000004">
      <c r="A12" s="17"/>
      <c r="B12" s="18"/>
      <c r="C12" s="14"/>
      <c r="D12" s="26"/>
      <c r="E12" s="26"/>
      <c r="F12" s="24"/>
      <c r="G12" s="512">
        <v>40</v>
      </c>
      <c r="H12" s="512"/>
      <c r="I12" s="497"/>
      <c r="J12" s="497"/>
      <c r="K12" s="496"/>
      <c r="L12" s="496"/>
      <c r="M12" s="496"/>
      <c r="N12" s="14"/>
      <c r="O12" s="14"/>
      <c r="P12" s="14"/>
      <c r="Q12" s="14"/>
      <c r="R12" s="14"/>
      <c r="S12" s="14"/>
      <c r="T12" s="14"/>
      <c r="U12" s="14"/>
      <c r="V12" s="15"/>
    </row>
    <row r="13" spans="1:23" x14ac:dyDescent="0.55000000000000004">
      <c r="A13" s="17"/>
      <c r="B13" s="13" t="s">
        <v>47</v>
      </c>
      <c r="C13" s="24"/>
      <c r="D13" s="24"/>
      <c r="E13" s="24"/>
      <c r="F13" s="24"/>
      <c r="G13" s="2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3" ht="21" customHeight="1" x14ac:dyDescent="0.55000000000000004">
      <c r="A14" s="17"/>
      <c r="B14" s="18"/>
      <c r="C14" s="559" t="s">
        <v>151</v>
      </c>
      <c r="D14" s="577"/>
      <c r="E14" s="577"/>
      <c r="F14" s="577"/>
      <c r="G14" s="577"/>
      <c r="H14" s="577"/>
      <c r="I14" s="560"/>
      <c r="J14" s="521" t="s">
        <v>67</v>
      </c>
      <c r="K14" s="522"/>
      <c r="L14" s="522"/>
      <c r="M14" s="522"/>
      <c r="N14" s="522"/>
      <c r="O14" s="522"/>
      <c r="P14" s="522"/>
      <c r="Q14" s="522"/>
      <c r="R14" s="522"/>
      <c r="S14" s="522"/>
      <c r="T14" s="523"/>
      <c r="U14" s="472" t="s">
        <v>68</v>
      </c>
      <c r="V14" s="472"/>
    </row>
    <row r="15" spans="1:23" x14ac:dyDescent="0.55000000000000004">
      <c r="A15" s="17"/>
      <c r="B15" s="18"/>
      <c r="C15" s="609"/>
      <c r="D15" s="568"/>
      <c r="E15" s="568"/>
      <c r="F15" s="568"/>
      <c r="G15" s="568"/>
      <c r="H15" s="568"/>
      <c r="I15" s="569"/>
      <c r="J15" s="521" t="s">
        <v>69</v>
      </c>
      <c r="K15" s="522"/>
      <c r="L15" s="522"/>
      <c r="M15" s="522"/>
      <c r="N15" s="522"/>
      <c r="O15" s="523"/>
      <c r="P15" s="472" t="s">
        <v>70</v>
      </c>
      <c r="Q15" s="472"/>
      <c r="R15" s="472"/>
      <c r="S15" s="472"/>
      <c r="T15" s="472"/>
      <c r="U15" s="472"/>
      <c r="V15" s="472"/>
    </row>
    <row r="16" spans="1:23" x14ac:dyDescent="0.55000000000000004">
      <c r="A16" s="17"/>
      <c r="B16" s="18"/>
      <c r="C16" s="561"/>
      <c r="D16" s="578"/>
      <c r="E16" s="578"/>
      <c r="F16" s="578"/>
      <c r="G16" s="578"/>
      <c r="H16" s="578"/>
      <c r="I16" s="486"/>
      <c r="J16" s="225">
        <v>0.1</v>
      </c>
      <c r="K16" s="225">
        <v>0.2</v>
      </c>
      <c r="L16" s="225">
        <v>0.4</v>
      </c>
      <c r="M16" s="225">
        <v>0.6</v>
      </c>
      <c r="N16" s="29">
        <v>0.8</v>
      </c>
      <c r="O16" s="57">
        <v>1</v>
      </c>
      <c r="P16" s="225">
        <v>0.2</v>
      </c>
      <c r="Q16" s="225">
        <v>0.4</v>
      </c>
      <c r="R16" s="225">
        <v>0.6</v>
      </c>
      <c r="S16" s="225">
        <v>0.8</v>
      </c>
      <c r="T16" s="29">
        <v>1</v>
      </c>
      <c r="U16" s="472"/>
      <c r="V16" s="472"/>
    </row>
    <row r="17" spans="1:23" ht="42" customHeight="1" x14ac:dyDescent="0.55000000000000004">
      <c r="A17" s="17"/>
      <c r="B17" s="18"/>
      <c r="C17" s="610" t="s">
        <v>153</v>
      </c>
      <c r="D17" s="611"/>
      <c r="E17" s="611"/>
      <c r="F17" s="611"/>
      <c r="G17" s="611"/>
      <c r="H17" s="611"/>
      <c r="I17" s="612"/>
      <c r="J17" s="55"/>
      <c r="K17" s="55"/>
      <c r="L17" s="55"/>
      <c r="M17" s="55"/>
      <c r="N17" s="55"/>
      <c r="O17" s="55"/>
      <c r="P17" s="56"/>
      <c r="Q17" s="56"/>
      <c r="R17" s="56"/>
      <c r="S17" s="56"/>
      <c r="T17" s="56"/>
      <c r="U17" s="585">
        <f>J17*$J$16+K17*$K$16+L17*$L$16+M17*$M$16+N17*$N$16+O17*$O$16+P17*$P$16+Q17*$Q$16+R17*$R$16+S17*$S$16+T17*$T$16</f>
        <v>0</v>
      </c>
      <c r="V17" s="585"/>
    </row>
    <row r="18" spans="1:23" x14ac:dyDescent="0.55000000000000004">
      <c r="A18" s="17"/>
      <c r="B18" s="27"/>
      <c r="C18" s="606" t="s">
        <v>152</v>
      </c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8"/>
      <c r="U18" s="605">
        <v>1</v>
      </c>
      <c r="V18" s="605"/>
      <c r="W18" s="114" t="s">
        <v>328</v>
      </c>
    </row>
    <row r="19" spans="1:23" x14ac:dyDescent="0.55000000000000004">
      <c r="A19" s="17"/>
      <c r="B19" s="13" t="s">
        <v>73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</row>
    <row r="20" spans="1:23" x14ac:dyDescent="0.55000000000000004">
      <c r="A20" s="17"/>
      <c r="B20" s="470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71"/>
    </row>
    <row r="21" spans="1:23" x14ac:dyDescent="0.55000000000000004">
      <c r="A21" s="17"/>
      <c r="B21" s="470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71"/>
    </row>
    <row r="22" spans="1:23" x14ac:dyDescent="0.55000000000000004">
      <c r="A22" s="17"/>
      <c r="B22" s="470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71"/>
    </row>
    <row r="23" spans="1:23" x14ac:dyDescent="0.55000000000000004">
      <c r="A23" s="17"/>
      <c r="B23" s="470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71"/>
    </row>
    <row r="24" spans="1:23" x14ac:dyDescent="0.55000000000000004">
      <c r="A24" s="17"/>
      <c r="B24" s="13" t="s">
        <v>125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</row>
    <row r="25" spans="1:23" x14ac:dyDescent="0.55000000000000004">
      <c r="A25" s="17"/>
      <c r="B25" s="470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71"/>
    </row>
    <row r="26" spans="1:23" x14ac:dyDescent="0.55000000000000004">
      <c r="A26" s="17"/>
      <c r="B26" s="470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71"/>
    </row>
    <row r="27" spans="1:23" x14ac:dyDescent="0.55000000000000004">
      <c r="A27" s="168"/>
      <c r="B27" s="530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2"/>
    </row>
    <row r="28" spans="1:23" x14ac:dyDescent="0.55000000000000004">
      <c r="A28" s="35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3" ht="64.5" customHeight="1" x14ac:dyDescent="0.55000000000000004">
      <c r="A29" s="476" t="s">
        <v>12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 t="s">
        <v>13</v>
      </c>
      <c r="L29" s="476"/>
      <c r="M29" s="476"/>
      <c r="N29" s="476" t="s">
        <v>14</v>
      </c>
      <c r="O29" s="476"/>
      <c r="P29" s="476"/>
      <c r="Q29" s="476" t="s">
        <v>403</v>
      </c>
      <c r="R29" s="476"/>
      <c r="S29" s="476"/>
      <c r="T29" s="476" t="s">
        <v>16</v>
      </c>
      <c r="U29" s="476"/>
      <c r="V29" s="476"/>
    </row>
    <row r="30" spans="1:23" ht="42" customHeight="1" x14ac:dyDescent="0.55000000000000004">
      <c r="A30" s="477" t="s">
        <v>64</v>
      </c>
      <c r="B30" s="477"/>
      <c r="C30" s="477"/>
      <c r="D30" s="477"/>
      <c r="E30" s="477"/>
      <c r="F30" s="477"/>
      <c r="G30" s="477"/>
      <c r="H30" s="477"/>
      <c r="I30" s="477"/>
      <c r="J30" s="477"/>
      <c r="K30" s="520">
        <v>20</v>
      </c>
      <c r="L30" s="520"/>
      <c r="M30" s="520"/>
      <c r="N30" s="529">
        <f>K8</f>
        <v>0</v>
      </c>
      <c r="O30" s="529"/>
      <c r="P30" s="529"/>
      <c r="Q30" s="528">
        <f>K11</f>
        <v>0</v>
      </c>
      <c r="R30" s="528"/>
      <c r="S30" s="528"/>
      <c r="T30" s="527" t="str">
        <f>IF(G8/G9*100&gt;=K30,"บรรลุ","ไม่บรรลุ")</f>
        <v>ไม่บรรลุ</v>
      </c>
      <c r="U30" s="527"/>
      <c r="V30" s="527"/>
    </row>
    <row r="31" spans="1:23" s="1" customFormat="1" x14ac:dyDescent="0.55000000000000004"/>
    <row r="32" spans="1:23" s="1" customFormat="1" x14ac:dyDescent="0.55000000000000004"/>
    <row r="33" s="1" customFormat="1" x14ac:dyDescent="0.55000000000000004"/>
  </sheetData>
  <sheetProtection sheet="1" objects="1" scenarios="1" formatCells="0" formatRows="0" insertRows="0" deleteRows="0"/>
  <mergeCells count="36">
    <mergeCell ref="B1:V1"/>
    <mergeCell ref="B5:V5"/>
    <mergeCell ref="G8:H8"/>
    <mergeCell ref="I8:J9"/>
    <mergeCell ref="K8:M9"/>
    <mergeCell ref="G9:H9"/>
    <mergeCell ref="U14:V16"/>
    <mergeCell ref="P15:T15"/>
    <mergeCell ref="U17:V17"/>
    <mergeCell ref="G11:H11"/>
    <mergeCell ref="I11:J12"/>
    <mergeCell ref="K11:M12"/>
    <mergeCell ref="G12:H12"/>
    <mergeCell ref="J15:O15"/>
    <mergeCell ref="C14:I16"/>
    <mergeCell ref="C17:I17"/>
    <mergeCell ref="J14:T14"/>
    <mergeCell ref="C18:T18"/>
    <mergeCell ref="B25:V25"/>
    <mergeCell ref="B26:V26"/>
    <mergeCell ref="B27:V27"/>
    <mergeCell ref="A29:J29"/>
    <mergeCell ref="K29:M29"/>
    <mergeCell ref="N29:P29"/>
    <mergeCell ref="Q29:S29"/>
    <mergeCell ref="T29:V29"/>
    <mergeCell ref="U18:V18"/>
    <mergeCell ref="B20:V20"/>
    <mergeCell ref="B21:V21"/>
    <mergeCell ref="B22:V22"/>
    <mergeCell ref="B23:V23"/>
    <mergeCell ref="A30:J30"/>
    <mergeCell ref="K30:M30"/>
    <mergeCell ref="N30:P30"/>
    <mergeCell ref="Q30:S30"/>
    <mergeCell ref="T30:V30"/>
  </mergeCells>
  <hyperlinks>
    <hyperlink ref="W2" location="ข้อมูลพื้นฐาน!A1" display="Main Menu"/>
    <hyperlink ref="W4" location="'หมวด3-2.2(เอก)'!A1" display="Next &gt;&gt; ตัวบ่งชี้ที่ 2.2 (ปริญญาเอก)"/>
    <hyperlink ref="W3" location="'หมวด3-2.2(ตรี)'!A1" display="&lt;&lt; Previois ตัวบ่งชี้ที่ 2.2 (ปริญญาตรี)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theme="7" tint="0.79998168889431442"/>
  </sheetPr>
  <dimension ref="A1:W33"/>
  <sheetViews>
    <sheetView showGridLines="0" zoomScale="115" zoomScaleNormal="115" zoomScaleSheetLayoutView="115" workbookViewId="0">
      <selection activeCell="K17" sqref="K17"/>
    </sheetView>
  </sheetViews>
  <sheetFormatPr defaultRowHeight="24" x14ac:dyDescent="0.55000000000000004"/>
  <cols>
    <col min="1" max="1" width="6.125" style="2" customWidth="1"/>
    <col min="2" max="2" width="3.75" style="2" customWidth="1"/>
    <col min="3" max="20" width="3.5" style="2" customWidth="1"/>
    <col min="21" max="22" width="3.75" style="2" customWidth="1"/>
    <col min="23" max="23" width="32.5" style="2" bestFit="1" customWidth="1"/>
    <col min="24" max="16384" width="9" style="2"/>
  </cols>
  <sheetData>
    <row r="1" spans="1:23" x14ac:dyDescent="0.55000000000000004">
      <c r="A1" s="218" t="s">
        <v>12</v>
      </c>
      <c r="B1" s="521" t="s">
        <v>23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3"/>
    </row>
    <row r="2" spans="1:23" x14ac:dyDescent="0.55000000000000004">
      <c r="A2" s="12">
        <v>2.2000000000000002</v>
      </c>
      <c r="B2" s="13" t="s">
        <v>157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W2" s="181" t="s">
        <v>346</v>
      </c>
    </row>
    <row r="3" spans="1:23" x14ac:dyDescent="0.55000000000000004">
      <c r="A3" s="17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82" t="s">
        <v>379</v>
      </c>
    </row>
    <row r="4" spans="1:23" x14ac:dyDescent="0.55000000000000004">
      <c r="A4" s="17"/>
      <c r="B4" s="13" t="s">
        <v>28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83" t="s">
        <v>380</v>
      </c>
    </row>
    <row r="5" spans="1:23" ht="83.25" customHeight="1" x14ac:dyDescent="0.55000000000000004">
      <c r="A5" s="17"/>
      <c r="B5" s="524" t="str">
        <f>"             ผลงานของนักศึกษาและผู้สำเร็จการศึกษาในระดับปริญญาเอกที่ได้รับการตีพิมพ์หรือเผยแพร่ ของหลักสูตร "&amp;ข้อมูลพื้นฐาน!C2&amp;"  สาขาวิชา"&amp;ข้อมูลพื้นฐาน!C3&amp;"  มีทั้งหมดจำนวน "&amp;U18&amp;"  เรื่อง ค่าร้อยละของผลรวมถ่วงน้ำหนักของผลงานของนักศึกษาและผู้สำเร็จการศึกษาในระดับปริญญาโทที่ได้รับการตีพิมพ์หรือเผยแพร่เท่ากับ " &amp;K8&amp;"%"&amp;"  คะแนนที่ได้เท่ากับ "&amp;K11&amp;" คะแนนโดยแสดงวิธีการคำนวณ ดังนี้"</f>
        <v xml:space="preserve">             ผลงานของนักศึกษาและผู้สำเร็จการศึกษาในระดับปริญญาเอกที่ได้รับการตีพิมพ์หรือเผยแพร่ ของหลักสูตร วิทยาศาสตรบัณฑิต  สาขาวิชาอิเล็กทรอนิกส์สื่อสาร  มีทั้งหมดจำนวน 1  เรื่อง ค่าร้อยละของผลรวมถ่วงน้ำหนักของผลงานของนักศึกษาและผู้สำเร็จการศึกษาในระดับปริญญาโทที่ได้รับการตีพิมพ์หรือเผยแพร่เท่ากับ 0%  คะแนนที่ได้เท่ากับ 0 คะแนนโดยแสดงวิธีการคำนวณ ดังนี้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6"/>
    </row>
    <row r="6" spans="1:23" x14ac:dyDescent="0.55000000000000004">
      <c r="A6" s="17"/>
      <c r="B6" s="13" t="s">
        <v>33</v>
      </c>
      <c r="C6" s="24"/>
      <c r="D6" s="24"/>
      <c r="E6" s="24"/>
      <c r="F6" s="24"/>
      <c r="G6" s="2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3" x14ac:dyDescent="0.55000000000000004">
      <c r="A7" s="17"/>
      <c r="B7" s="40" t="s">
        <v>330</v>
      </c>
      <c r="C7" s="24"/>
      <c r="D7" s="24"/>
      <c r="E7" s="24"/>
      <c r="F7" s="24"/>
      <c r="G7" s="2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3" x14ac:dyDescent="0.55000000000000004">
      <c r="A8" s="17"/>
      <c r="B8" s="18"/>
      <c r="C8" s="14"/>
      <c r="D8" s="14"/>
      <c r="E8" s="14"/>
      <c r="F8" s="24"/>
      <c r="G8" s="614">
        <f>U17</f>
        <v>0</v>
      </c>
      <c r="H8" s="614"/>
      <c r="I8" s="497" t="s">
        <v>35</v>
      </c>
      <c r="J8" s="497"/>
      <c r="K8" s="495">
        <f>ROUND((G8/G9)*100,2)</f>
        <v>0</v>
      </c>
      <c r="L8" s="495"/>
      <c r="M8" s="495"/>
      <c r="N8" s="14"/>
      <c r="O8" s="14"/>
      <c r="P8" s="14"/>
      <c r="Q8" s="14"/>
      <c r="R8" s="14"/>
      <c r="S8" s="14"/>
      <c r="T8" s="14"/>
      <c r="U8" s="14"/>
      <c r="V8" s="15"/>
    </row>
    <row r="9" spans="1:23" x14ac:dyDescent="0.55000000000000004">
      <c r="A9" s="17"/>
      <c r="B9" s="18"/>
      <c r="C9" s="14"/>
      <c r="D9" s="26"/>
      <c r="E9" s="26"/>
      <c r="F9" s="24"/>
      <c r="G9" s="613">
        <f>U18</f>
        <v>1</v>
      </c>
      <c r="H9" s="497"/>
      <c r="I9" s="497"/>
      <c r="J9" s="497"/>
      <c r="K9" s="495"/>
      <c r="L9" s="495"/>
      <c r="M9" s="495"/>
      <c r="N9" s="14"/>
      <c r="O9" s="14"/>
      <c r="P9" s="14"/>
      <c r="Q9" s="14"/>
      <c r="R9" s="14"/>
      <c r="S9" s="14"/>
      <c r="T9" s="14"/>
      <c r="U9" s="14"/>
      <c r="V9" s="15"/>
    </row>
    <row r="10" spans="1:23" x14ac:dyDescent="0.55000000000000004">
      <c r="A10" s="17"/>
      <c r="B10" s="25" t="s">
        <v>55</v>
      </c>
      <c r="C10" s="24"/>
      <c r="D10" s="24"/>
      <c r="E10" s="24"/>
      <c r="F10" s="24"/>
      <c r="G10" s="2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3" x14ac:dyDescent="0.55000000000000004">
      <c r="A11" s="17"/>
      <c r="B11" s="18"/>
      <c r="C11" s="14"/>
      <c r="D11" s="14"/>
      <c r="E11" s="14"/>
      <c r="F11" s="24"/>
      <c r="G11" s="511">
        <f>K8</f>
        <v>0</v>
      </c>
      <c r="H11" s="511"/>
      <c r="I11" s="497" t="s">
        <v>56</v>
      </c>
      <c r="J11" s="497"/>
      <c r="K11" s="496">
        <f>IF((G11/G12)*5&gt;5,5,ROUND((G11/G12)*5,2))</f>
        <v>0</v>
      </c>
      <c r="L11" s="496"/>
      <c r="M11" s="496"/>
      <c r="N11" s="14"/>
      <c r="O11" s="14"/>
      <c r="P11" s="14"/>
      <c r="Q11" s="14"/>
      <c r="R11" s="14"/>
      <c r="S11" s="14"/>
      <c r="T11" s="14"/>
      <c r="U11" s="14"/>
      <c r="V11" s="15"/>
    </row>
    <row r="12" spans="1:23" x14ac:dyDescent="0.55000000000000004">
      <c r="A12" s="17"/>
      <c r="B12" s="18"/>
      <c r="C12" s="14"/>
      <c r="D12" s="26"/>
      <c r="E12" s="26"/>
      <c r="F12" s="24"/>
      <c r="G12" s="512">
        <v>80</v>
      </c>
      <c r="H12" s="512"/>
      <c r="I12" s="497"/>
      <c r="J12" s="497"/>
      <c r="K12" s="496"/>
      <c r="L12" s="496"/>
      <c r="M12" s="496"/>
      <c r="N12" s="14"/>
      <c r="O12" s="14"/>
      <c r="P12" s="14"/>
      <c r="Q12" s="14"/>
      <c r="R12" s="14"/>
      <c r="S12" s="14"/>
      <c r="T12" s="14"/>
      <c r="U12" s="14"/>
      <c r="V12" s="15"/>
    </row>
    <row r="13" spans="1:23" x14ac:dyDescent="0.55000000000000004">
      <c r="A13" s="17"/>
      <c r="B13" s="13" t="s">
        <v>47</v>
      </c>
      <c r="C13" s="24"/>
      <c r="D13" s="24"/>
      <c r="E13" s="24"/>
      <c r="F13" s="24"/>
      <c r="G13" s="2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3" ht="21" customHeight="1" x14ac:dyDescent="0.55000000000000004">
      <c r="A14" s="17"/>
      <c r="B14" s="18"/>
      <c r="C14" s="559" t="s">
        <v>151</v>
      </c>
      <c r="D14" s="577"/>
      <c r="E14" s="577"/>
      <c r="F14" s="577"/>
      <c r="G14" s="577"/>
      <c r="H14" s="577"/>
      <c r="I14" s="577"/>
      <c r="J14" s="560"/>
      <c r="K14" s="472" t="s">
        <v>67</v>
      </c>
      <c r="L14" s="472"/>
      <c r="M14" s="472"/>
      <c r="N14" s="472"/>
      <c r="O14" s="472"/>
      <c r="P14" s="472"/>
      <c r="Q14" s="472"/>
      <c r="R14" s="472"/>
      <c r="S14" s="472"/>
      <c r="T14" s="472"/>
      <c r="U14" s="472" t="s">
        <v>68</v>
      </c>
      <c r="V14" s="472"/>
    </row>
    <row r="15" spans="1:23" ht="21" customHeight="1" x14ac:dyDescent="0.55000000000000004">
      <c r="A15" s="17"/>
      <c r="B15" s="18"/>
      <c r="C15" s="609"/>
      <c r="D15" s="568"/>
      <c r="E15" s="568"/>
      <c r="F15" s="568"/>
      <c r="G15" s="568"/>
      <c r="H15" s="568"/>
      <c r="I15" s="568"/>
      <c r="J15" s="569"/>
      <c r="K15" s="521" t="s">
        <v>69</v>
      </c>
      <c r="L15" s="522"/>
      <c r="M15" s="522"/>
      <c r="N15" s="522"/>
      <c r="O15" s="523"/>
      <c r="P15" s="472" t="s">
        <v>70</v>
      </c>
      <c r="Q15" s="472"/>
      <c r="R15" s="472"/>
      <c r="S15" s="472"/>
      <c r="T15" s="472"/>
      <c r="U15" s="472"/>
      <c r="V15" s="472"/>
    </row>
    <row r="16" spans="1:23" x14ac:dyDescent="0.55000000000000004">
      <c r="A16" s="17"/>
      <c r="B16" s="18"/>
      <c r="C16" s="561"/>
      <c r="D16" s="578"/>
      <c r="E16" s="578"/>
      <c r="F16" s="578"/>
      <c r="G16" s="578"/>
      <c r="H16" s="578"/>
      <c r="I16" s="578"/>
      <c r="J16" s="486"/>
      <c r="K16" s="225">
        <v>0.2</v>
      </c>
      <c r="L16" s="225">
        <v>0.4</v>
      </c>
      <c r="M16" s="225">
        <v>0.6</v>
      </c>
      <c r="N16" s="29">
        <v>0.8</v>
      </c>
      <c r="O16" s="57">
        <v>1</v>
      </c>
      <c r="P16" s="225">
        <v>0.2</v>
      </c>
      <c r="Q16" s="225">
        <v>0.4</v>
      </c>
      <c r="R16" s="225">
        <v>0.6</v>
      </c>
      <c r="S16" s="225">
        <v>0.8</v>
      </c>
      <c r="T16" s="29">
        <v>1</v>
      </c>
      <c r="U16" s="472"/>
      <c r="V16" s="472"/>
    </row>
    <row r="17" spans="1:23" ht="42" customHeight="1" x14ac:dyDescent="0.55000000000000004">
      <c r="A17" s="17"/>
      <c r="B17" s="18"/>
      <c r="C17" s="610" t="s">
        <v>158</v>
      </c>
      <c r="D17" s="611"/>
      <c r="E17" s="611"/>
      <c r="F17" s="611"/>
      <c r="G17" s="611"/>
      <c r="H17" s="611"/>
      <c r="I17" s="611"/>
      <c r="J17" s="612"/>
      <c r="K17" s="55"/>
      <c r="L17" s="55"/>
      <c r="M17" s="55"/>
      <c r="N17" s="55"/>
      <c r="O17" s="55"/>
      <c r="P17" s="56"/>
      <c r="Q17" s="56"/>
      <c r="R17" s="56"/>
      <c r="S17" s="56"/>
      <c r="T17" s="56"/>
      <c r="U17" s="585">
        <f>K17*$K$16+L17*$L$16+M17*$M$16+N17*$N$16+O17*$O$16+P17*$P$16+Q17*$Q$16+R17*$R$16+S17*$S$16+T17*$T$16</f>
        <v>0</v>
      </c>
      <c r="V17" s="585"/>
    </row>
    <row r="18" spans="1:23" x14ac:dyDescent="0.55000000000000004">
      <c r="A18" s="17"/>
      <c r="B18" s="27"/>
      <c r="C18" s="606" t="s">
        <v>159</v>
      </c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8"/>
      <c r="U18" s="605">
        <v>1</v>
      </c>
      <c r="V18" s="605"/>
      <c r="W18" s="114" t="s">
        <v>329</v>
      </c>
    </row>
    <row r="19" spans="1:23" x14ac:dyDescent="0.55000000000000004">
      <c r="A19" s="17"/>
      <c r="B19" s="13" t="s">
        <v>73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</row>
    <row r="20" spans="1:23" s="1" customFormat="1" x14ac:dyDescent="0.55000000000000004">
      <c r="A20" s="32"/>
      <c r="B20" s="470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71"/>
    </row>
    <row r="21" spans="1:23" s="1" customFormat="1" x14ac:dyDescent="0.55000000000000004">
      <c r="A21" s="32"/>
      <c r="B21" s="470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71"/>
    </row>
    <row r="22" spans="1:23" s="1" customFormat="1" x14ac:dyDescent="0.55000000000000004">
      <c r="A22" s="32"/>
      <c r="B22" s="470"/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71"/>
    </row>
    <row r="23" spans="1:23" s="1" customFormat="1" x14ac:dyDescent="0.55000000000000004">
      <c r="A23" s="32"/>
      <c r="B23" s="470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71"/>
    </row>
    <row r="24" spans="1:23" s="1" customFormat="1" x14ac:dyDescent="0.55000000000000004">
      <c r="A24" s="32"/>
      <c r="B24" s="305" t="s">
        <v>125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1"/>
    </row>
    <row r="25" spans="1:23" s="1" customFormat="1" x14ac:dyDescent="0.55000000000000004">
      <c r="A25" s="32"/>
      <c r="B25" s="470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71"/>
    </row>
    <row r="26" spans="1:23" s="1" customFormat="1" x14ac:dyDescent="0.55000000000000004">
      <c r="A26" s="32"/>
      <c r="B26" s="470"/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71"/>
    </row>
    <row r="27" spans="1:23" s="1" customFormat="1" x14ac:dyDescent="0.55000000000000004">
      <c r="A27" s="34"/>
      <c r="B27" s="530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2"/>
    </row>
    <row r="28" spans="1:23" x14ac:dyDescent="0.55000000000000004">
      <c r="A28" s="35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3" ht="64.5" customHeight="1" x14ac:dyDescent="0.55000000000000004">
      <c r="A29" s="476" t="s">
        <v>12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 t="s">
        <v>13</v>
      </c>
      <c r="L29" s="476"/>
      <c r="M29" s="476"/>
      <c r="N29" s="476" t="s">
        <v>14</v>
      </c>
      <c r="O29" s="476"/>
      <c r="P29" s="476"/>
      <c r="Q29" s="476" t="s">
        <v>15</v>
      </c>
      <c r="R29" s="476"/>
      <c r="S29" s="476"/>
      <c r="T29" s="476" t="s">
        <v>16</v>
      </c>
      <c r="U29" s="476"/>
      <c r="V29" s="476"/>
    </row>
    <row r="30" spans="1:23" ht="42" customHeight="1" x14ac:dyDescent="0.55000000000000004">
      <c r="A30" s="477" t="s">
        <v>64</v>
      </c>
      <c r="B30" s="477"/>
      <c r="C30" s="477"/>
      <c r="D30" s="477"/>
      <c r="E30" s="477"/>
      <c r="F30" s="477"/>
      <c r="G30" s="477"/>
      <c r="H30" s="477"/>
      <c r="I30" s="477"/>
      <c r="J30" s="477"/>
      <c r="K30" s="520">
        <v>20</v>
      </c>
      <c r="L30" s="520"/>
      <c r="M30" s="520"/>
      <c r="N30" s="529">
        <f>K8</f>
        <v>0</v>
      </c>
      <c r="O30" s="529"/>
      <c r="P30" s="529"/>
      <c r="Q30" s="528">
        <f>K11</f>
        <v>0</v>
      </c>
      <c r="R30" s="528"/>
      <c r="S30" s="528"/>
      <c r="T30" s="527" t="str">
        <f>IF(G8/G9*100&gt;=K30,"บรรลุ","ไม่บรรลุ")</f>
        <v>ไม่บรรลุ</v>
      </c>
      <c r="U30" s="527"/>
      <c r="V30" s="527"/>
    </row>
    <row r="31" spans="1:23" s="1" customFormat="1" x14ac:dyDescent="0.55000000000000004"/>
    <row r="32" spans="1:23" s="1" customFormat="1" x14ac:dyDescent="0.55000000000000004"/>
    <row r="33" s="1" customFormat="1" x14ac:dyDescent="0.55000000000000004"/>
  </sheetData>
  <sheetProtection sheet="1" objects="1" scenarios="1" formatCells="0" formatRows="0" insertRows="0" deleteRows="0"/>
  <mergeCells count="36">
    <mergeCell ref="B1:V1"/>
    <mergeCell ref="B5:V5"/>
    <mergeCell ref="G8:H8"/>
    <mergeCell ref="I8:J9"/>
    <mergeCell ref="K8:M9"/>
    <mergeCell ref="G9:H9"/>
    <mergeCell ref="B25:V25"/>
    <mergeCell ref="B27:V27"/>
    <mergeCell ref="G11:H11"/>
    <mergeCell ref="I11:J12"/>
    <mergeCell ref="K11:M12"/>
    <mergeCell ref="G12:H12"/>
    <mergeCell ref="K14:T14"/>
    <mergeCell ref="C14:J16"/>
    <mergeCell ref="B26:V26"/>
    <mergeCell ref="U14:V16"/>
    <mergeCell ref="Q30:S30"/>
    <mergeCell ref="T30:V30"/>
    <mergeCell ref="Q29:S29"/>
    <mergeCell ref="T29:V29"/>
    <mergeCell ref="P15:T15"/>
    <mergeCell ref="U17:V17"/>
    <mergeCell ref="C18:T18"/>
    <mergeCell ref="U18:V18"/>
    <mergeCell ref="K15:O15"/>
    <mergeCell ref="C17:J17"/>
    <mergeCell ref="A30:J30"/>
    <mergeCell ref="K30:M30"/>
    <mergeCell ref="N30:P30"/>
    <mergeCell ref="B20:V20"/>
    <mergeCell ref="B21:V21"/>
    <mergeCell ref="B22:V22"/>
    <mergeCell ref="B23:V23"/>
    <mergeCell ref="A29:J29"/>
    <mergeCell ref="K29:M29"/>
    <mergeCell ref="N29:P29"/>
  </mergeCells>
  <hyperlinks>
    <hyperlink ref="W2" location="ข้อมูลพื้นฐาน!A1" display="Main Menu"/>
    <hyperlink ref="W4" location="'หมวด3-3.1'!A1" display="Next &gt;&gt; ตัวบ่งชี้ที่ 3.1"/>
    <hyperlink ref="W3" location="'หมวด3-2.2(โท)'!A1" display="&lt;&lt; Previois ตัวบ่งชี้ที่ 2.2 (ปริญญาโท)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theme="8" tint="0.79998168889431442"/>
  </sheetPr>
  <dimension ref="A1:J30"/>
  <sheetViews>
    <sheetView showGridLines="0" zoomScale="115" zoomScaleNormal="115" zoomScaleSheetLayoutView="115" workbookViewId="0">
      <selection activeCell="H28" sqref="H28"/>
    </sheetView>
  </sheetViews>
  <sheetFormatPr defaultRowHeight="24" x14ac:dyDescent="0.55000000000000004"/>
  <cols>
    <col min="1" max="1" width="6" style="2" customWidth="1"/>
    <col min="2" max="2" width="9" style="2"/>
    <col min="3" max="3" width="17.75" style="2" customWidth="1"/>
    <col min="4" max="7" width="11.875" style="2" customWidth="1"/>
    <col min="8" max="8" width="31.75" style="2" bestFit="1" customWidth="1"/>
    <col min="9" max="9" width="3" style="2" hidden="1" customWidth="1"/>
    <col min="10" max="16384" width="9" style="2"/>
  </cols>
  <sheetData>
    <row r="1" spans="1:8" x14ac:dyDescent="0.55000000000000004">
      <c r="A1" s="37" t="s">
        <v>107</v>
      </c>
    </row>
    <row r="2" spans="1:8" x14ac:dyDescent="0.55000000000000004">
      <c r="A2" s="89" t="s">
        <v>12</v>
      </c>
      <c r="B2" s="472" t="s">
        <v>23</v>
      </c>
      <c r="C2" s="472"/>
      <c r="D2" s="472"/>
      <c r="E2" s="472"/>
      <c r="F2" s="472"/>
      <c r="G2" s="472"/>
      <c r="H2" s="181" t="s">
        <v>346</v>
      </c>
    </row>
    <row r="3" spans="1:8" x14ac:dyDescent="0.55000000000000004">
      <c r="A3" s="38">
        <v>3.1</v>
      </c>
      <c r="B3" s="39" t="s">
        <v>108</v>
      </c>
      <c r="C3" s="14"/>
      <c r="D3" s="14"/>
      <c r="E3" s="14"/>
      <c r="F3" s="14"/>
      <c r="G3" s="15"/>
      <c r="H3" s="182" t="s">
        <v>381</v>
      </c>
    </row>
    <row r="4" spans="1:8" x14ac:dyDescent="0.55000000000000004">
      <c r="A4" s="17"/>
      <c r="B4" s="58" t="s">
        <v>109</v>
      </c>
      <c r="C4" s="14"/>
      <c r="D4" s="14"/>
      <c r="E4" s="14"/>
      <c r="F4" s="14"/>
      <c r="G4" s="15"/>
      <c r="H4" s="183" t="s">
        <v>382</v>
      </c>
    </row>
    <row r="5" spans="1:8" x14ac:dyDescent="0.55000000000000004">
      <c r="A5" s="17"/>
      <c r="B5" s="58" t="s">
        <v>110</v>
      </c>
      <c r="C5" s="14"/>
      <c r="D5" s="14"/>
      <c r="E5" s="14"/>
      <c r="F5" s="14"/>
      <c r="G5" s="15"/>
    </row>
    <row r="6" spans="1:8" x14ac:dyDescent="0.55000000000000004">
      <c r="A6" s="17"/>
      <c r="B6" s="25"/>
      <c r="C6" s="14"/>
      <c r="D6" s="14"/>
      <c r="E6" s="14"/>
      <c r="F6" s="14"/>
      <c r="G6" s="15"/>
    </row>
    <row r="7" spans="1:8" x14ac:dyDescent="0.55000000000000004">
      <c r="A7" s="17"/>
      <c r="B7" s="13" t="s">
        <v>28</v>
      </c>
      <c r="C7" s="14"/>
      <c r="D7" s="14"/>
      <c r="E7" s="14"/>
      <c r="F7" s="14"/>
      <c r="G7" s="15"/>
    </row>
    <row r="8" spans="1:8" s="1" customFormat="1" x14ac:dyDescent="0.55000000000000004">
      <c r="A8" s="32"/>
      <c r="B8" s="470"/>
      <c r="C8" s="469"/>
      <c r="D8" s="469"/>
      <c r="E8" s="469"/>
      <c r="F8" s="469"/>
      <c r="G8" s="471"/>
    </row>
    <row r="9" spans="1:8" s="1" customFormat="1" x14ac:dyDescent="0.55000000000000004">
      <c r="A9" s="32"/>
      <c r="B9" s="470"/>
      <c r="C9" s="469"/>
      <c r="D9" s="469"/>
      <c r="E9" s="469"/>
      <c r="F9" s="469"/>
      <c r="G9" s="471"/>
    </row>
    <row r="10" spans="1:8" s="1" customFormat="1" x14ac:dyDescent="0.55000000000000004">
      <c r="A10" s="32"/>
      <c r="B10" s="470"/>
      <c r="C10" s="469"/>
      <c r="D10" s="469"/>
      <c r="E10" s="469"/>
      <c r="F10" s="469"/>
      <c r="G10" s="471"/>
    </row>
    <row r="11" spans="1:8" s="1" customFormat="1" x14ac:dyDescent="0.55000000000000004">
      <c r="A11" s="32"/>
      <c r="B11" s="470"/>
      <c r="C11" s="469"/>
      <c r="D11" s="469"/>
      <c r="E11" s="469"/>
      <c r="F11" s="469"/>
      <c r="G11" s="471"/>
    </row>
    <row r="12" spans="1:8" s="1" customFormat="1" x14ac:dyDescent="0.55000000000000004">
      <c r="A12" s="32"/>
      <c r="B12" s="470"/>
      <c r="C12" s="469"/>
      <c r="D12" s="469"/>
      <c r="E12" s="469"/>
      <c r="F12" s="469"/>
      <c r="G12" s="471"/>
    </row>
    <row r="13" spans="1:8" s="1" customFormat="1" x14ac:dyDescent="0.55000000000000004">
      <c r="A13" s="32"/>
      <c r="B13" s="305" t="s">
        <v>73</v>
      </c>
      <c r="C13" s="31"/>
      <c r="D13" s="31"/>
      <c r="E13" s="31"/>
      <c r="F13" s="31"/>
      <c r="G13" s="301"/>
    </row>
    <row r="14" spans="1:8" s="1" customFormat="1" x14ac:dyDescent="0.55000000000000004">
      <c r="A14" s="32"/>
      <c r="B14" s="470"/>
      <c r="C14" s="469"/>
      <c r="D14" s="469"/>
      <c r="E14" s="469"/>
      <c r="F14" s="469"/>
      <c r="G14" s="471"/>
    </row>
    <row r="15" spans="1:8" s="1" customFormat="1" x14ac:dyDescent="0.55000000000000004">
      <c r="A15" s="32"/>
      <c r="B15" s="470"/>
      <c r="C15" s="469"/>
      <c r="D15" s="469"/>
      <c r="E15" s="469"/>
      <c r="F15" s="469"/>
      <c r="G15" s="471"/>
    </row>
    <row r="16" spans="1:8" s="1" customFormat="1" x14ac:dyDescent="0.55000000000000004">
      <c r="A16" s="32"/>
      <c r="B16" s="470"/>
      <c r="C16" s="469"/>
      <c r="D16" s="469"/>
      <c r="E16" s="469"/>
      <c r="F16" s="469"/>
      <c r="G16" s="471"/>
    </row>
    <row r="17" spans="1:10" s="1" customFormat="1" x14ac:dyDescent="0.55000000000000004">
      <c r="A17" s="32"/>
      <c r="B17" s="470"/>
      <c r="C17" s="469"/>
      <c r="D17" s="469"/>
      <c r="E17" s="469"/>
      <c r="F17" s="469"/>
      <c r="G17" s="471"/>
    </row>
    <row r="18" spans="1:10" s="1" customFormat="1" x14ac:dyDescent="0.55000000000000004">
      <c r="A18" s="32"/>
      <c r="B18" s="305" t="s">
        <v>125</v>
      </c>
      <c r="C18" s="31"/>
      <c r="D18" s="31"/>
      <c r="E18" s="31"/>
      <c r="F18" s="31"/>
      <c r="G18" s="301"/>
    </row>
    <row r="19" spans="1:10" s="1" customFormat="1" x14ac:dyDescent="0.55000000000000004">
      <c r="A19" s="32"/>
      <c r="B19" s="470"/>
      <c r="C19" s="469"/>
      <c r="D19" s="469"/>
      <c r="E19" s="469"/>
      <c r="F19" s="469"/>
      <c r="G19" s="471"/>
    </row>
    <row r="20" spans="1:10" s="1" customFormat="1" x14ac:dyDescent="0.55000000000000004">
      <c r="A20" s="32"/>
      <c r="B20" s="470"/>
      <c r="C20" s="469"/>
      <c r="D20" s="469"/>
      <c r="E20" s="469"/>
      <c r="F20" s="469"/>
      <c r="G20" s="471"/>
    </row>
    <row r="21" spans="1:10" s="1" customFormat="1" x14ac:dyDescent="0.55000000000000004">
      <c r="A21" s="34"/>
      <c r="B21" s="473"/>
      <c r="C21" s="474"/>
      <c r="D21" s="474"/>
      <c r="E21" s="474"/>
      <c r="F21" s="474"/>
      <c r="G21" s="475"/>
    </row>
    <row r="22" spans="1:10" x14ac:dyDescent="0.55000000000000004">
      <c r="A22" s="115" t="s">
        <v>11</v>
      </c>
      <c r="B22" s="51"/>
      <c r="C22" s="51"/>
      <c r="D22" s="51"/>
      <c r="E22" s="51"/>
      <c r="F22" s="51"/>
      <c r="G22" s="51"/>
    </row>
    <row r="23" spans="1:10" ht="43.5" x14ac:dyDescent="0.55000000000000004">
      <c r="A23" s="476" t="s">
        <v>12</v>
      </c>
      <c r="B23" s="476"/>
      <c r="C23" s="476"/>
      <c r="D23" s="121" t="s">
        <v>13</v>
      </c>
      <c r="E23" s="121" t="s">
        <v>14</v>
      </c>
      <c r="F23" s="121" t="s">
        <v>403</v>
      </c>
      <c r="G23" s="121" t="s">
        <v>16</v>
      </c>
      <c r="I23" s="2">
        <v>0</v>
      </c>
    </row>
    <row r="24" spans="1:10" ht="42.75" customHeight="1" x14ac:dyDescent="0.55000000000000004">
      <c r="A24" s="477" t="s">
        <v>111</v>
      </c>
      <c r="B24" s="477"/>
      <c r="C24" s="477"/>
      <c r="D24" s="228">
        <v>3</v>
      </c>
      <c r="E24" s="228">
        <v>3</v>
      </c>
      <c r="F24" s="41">
        <f>E24</f>
        <v>3</v>
      </c>
      <c r="G24" s="88" t="str">
        <f>IF(E24&gt;=D24,"บรรลุ","ไม่บรรลุ")</f>
        <v>บรรลุ</v>
      </c>
      <c r="I24" s="59">
        <v>1</v>
      </c>
      <c r="J24" s="5"/>
    </row>
    <row r="25" spans="1:10" s="1" customFormat="1" x14ac:dyDescent="0.55000000000000004">
      <c r="A25" s="294"/>
      <c r="B25" s="294"/>
      <c r="C25" s="294"/>
      <c r="D25" s="294"/>
      <c r="E25" s="294"/>
      <c r="F25" s="294"/>
      <c r="G25" s="294"/>
      <c r="I25" s="160">
        <v>2</v>
      </c>
      <c r="J25" s="160"/>
    </row>
    <row r="26" spans="1:10" s="1" customFormat="1" x14ac:dyDescent="0.55000000000000004">
      <c r="A26" s="294"/>
      <c r="B26" s="294"/>
      <c r="C26" s="294"/>
      <c r="D26" s="420"/>
      <c r="E26" s="294"/>
      <c r="F26" s="294"/>
      <c r="G26" s="294"/>
      <c r="I26" s="423">
        <v>3</v>
      </c>
      <c r="J26" s="160"/>
    </row>
    <row r="27" spans="1:10" s="1" customFormat="1" x14ac:dyDescent="0.55000000000000004">
      <c r="A27" s="294"/>
      <c r="B27" s="294"/>
      <c r="C27" s="294"/>
      <c r="D27" s="294"/>
      <c r="E27" s="294"/>
      <c r="F27" s="294"/>
      <c r="G27" s="294"/>
      <c r="I27" s="160">
        <v>4</v>
      </c>
      <c r="J27" s="160"/>
    </row>
    <row r="28" spans="1:10" x14ac:dyDescent="0.55000000000000004">
      <c r="A28" s="51"/>
      <c r="B28" s="51"/>
      <c r="C28" s="51"/>
      <c r="D28" s="51"/>
      <c r="E28" s="51"/>
      <c r="F28" s="51"/>
      <c r="G28" s="51"/>
      <c r="I28" s="59">
        <v>5</v>
      </c>
      <c r="J28" s="5"/>
    </row>
    <row r="29" spans="1:10" x14ac:dyDescent="0.55000000000000004">
      <c r="A29" s="51"/>
      <c r="B29" s="51"/>
      <c r="C29" s="51"/>
      <c r="D29" s="51"/>
      <c r="E29" s="51"/>
      <c r="F29" s="51"/>
      <c r="G29" s="51"/>
    </row>
    <row r="30" spans="1:10" x14ac:dyDescent="0.55000000000000004">
      <c r="A30" s="51"/>
      <c r="B30" s="51"/>
      <c r="C30" s="51"/>
      <c r="D30" s="51"/>
      <c r="E30" s="51"/>
      <c r="F30" s="51"/>
      <c r="G30" s="51"/>
    </row>
  </sheetData>
  <sheetProtection sheet="1" objects="1" scenarios="1" formatCells="0" formatRows="0" insertRows="0" deleteRows="0"/>
  <mergeCells count="15">
    <mergeCell ref="B2:G2"/>
    <mergeCell ref="B8:G8"/>
    <mergeCell ref="B9:G9"/>
    <mergeCell ref="B10:G10"/>
    <mergeCell ref="B11:G11"/>
    <mergeCell ref="B20:G20"/>
    <mergeCell ref="B21:G21"/>
    <mergeCell ref="A23:C23"/>
    <mergeCell ref="A24:C24"/>
    <mergeCell ref="B12:G12"/>
    <mergeCell ref="B14:G14"/>
    <mergeCell ref="B15:G15"/>
    <mergeCell ref="B16:G16"/>
    <mergeCell ref="B17:G17"/>
    <mergeCell ref="B19:G19"/>
  </mergeCells>
  <dataValidations count="2">
    <dataValidation type="list" allowBlank="1" showInputMessage="1" showErrorMessage="1" sqref="E24">
      <formula1>$I$23:$I$2828</formula1>
    </dataValidation>
    <dataValidation type="list" allowBlank="1" showInputMessage="1" showErrorMessage="1" sqref="D24">
      <formula1>$I$23:$I$28</formula1>
    </dataValidation>
  </dataValidations>
  <hyperlinks>
    <hyperlink ref="H2" location="ข้อมูลพื้นฐาน!A1" display="Main Menu"/>
    <hyperlink ref="H4" location="'หมวด3-3.2'!A1" display="Next &gt;&gt; ตัวบ่งชี้ที่ 3.2"/>
    <hyperlink ref="H3" location="'หมวด3-2.2(เอก)'!A1" display="&lt;&lt; Previois ตัวบ่งชี้ที่ 2.2 (ปริญญาเอก)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8" tint="0.79998168889431442"/>
  </sheetPr>
  <dimension ref="A1:L30"/>
  <sheetViews>
    <sheetView showGridLines="0" zoomScale="115" zoomScaleNormal="115" zoomScaleSheetLayoutView="115" workbookViewId="0">
      <selection activeCell="F7" sqref="F7"/>
    </sheetView>
  </sheetViews>
  <sheetFormatPr defaultRowHeight="24" x14ac:dyDescent="0.55000000000000004"/>
  <cols>
    <col min="1" max="1" width="6" style="2" customWidth="1"/>
    <col min="2" max="2" width="9" style="2"/>
    <col min="3" max="3" width="17.75" style="2" customWidth="1"/>
    <col min="4" max="7" width="11.625" style="2" customWidth="1"/>
    <col min="8" max="8" width="62.875" style="2" customWidth="1"/>
    <col min="9" max="9" width="2" style="5" hidden="1" customWidth="1"/>
    <col min="10" max="11" width="9" style="2" hidden="1" customWidth="1"/>
    <col min="12" max="12" width="0" style="2" hidden="1" customWidth="1"/>
    <col min="13" max="16384" width="9" style="2"/>
  </cols>
  <sheetData>
    <row r="1" spans="1:12" x14ac:dyDescent="0.55000000000000004">
      <c r="A1" s="37" t="s">
        <v>107</v>
      </c>
    </row>
    <row r="2" spans="1:12" x14ac:dyDescent="0.55000000000000004">
      <c r="A2" s="89" t="s">
        <v>12</v>
      </c>
      <c r="B2" s="472" t="s">
        <v>23</v>
      </c>
      <c r="C2" s="472"/>
      <c r="D2" s="472"/>
      <c r="E2" s="472"/>
      <c r="F2" s="472"/>
      <c r="G2" s="472"/>
    </row>
    <row r="3" spans="1:12" x14ac:dyDescent="0.55000000000000004">
      <c r="A3" s="38">
        <v>3.2</v>
      </c>
      <c r="B3" s="39" t="s">
        <v>112</v>
      </c>
      <c r="C3" s="14"/>
      <c r="D3" s="14"/>
      <c r="E3" s="14"/>
      <c r="F3" s="14"/>
      <c r="G3" s="15"/>
      <c r="H3" s="181" t="s">
        <v>346</v>
      </c>
    </row>
    <row r="4" spans="1:12" x14ac:dyDescent="0.55000000000000004">
      <c r="A4" s="17"/>
      <c r="B4" s="40" t="str">
        <f>IF(OR(เกณฑ์=1,เกณฑ์=2),K4,L4)</f>
        <v xml:space="preserve"> - การควบคุมการดูแลการให้คำปรึกษาวิชาการและแนะแนวแก่นักศึกษาปริญญาตรี</v>
      </c>
      <c r="C4" s="14"/>
      <c r="D4" s="14"/>
      <c r="E4" s="14"/>
      <c r="F4" s="14"/>
      <c r="G4" s="15"/>
      <c r="H4" s="182" t="s">
        <v>383</v>
      </c>
      <c r="K4" s="40" t="s">
        <v>178</v>
      </c>
      <c r="L4" s="51" t="s">
        <v>177</v>
      </c>
    </row>
    <row r="5" spans="1:12" x14ac:dyDescent="0.55000000000000004">
      <c r="A5" s="17"/>
      <c r="B5" s="40" t="s">
        <v>179</v>
      </c>
      <c r="C5" s="14"/>
      <c r="D5" s="14"/>
      <c r="E5" s="14"/>
      <c r="F5" s="14"/>
      <c r="G5" s="15"/>
      <c r="H5" s="183" t="s">
        <v>384</v>
      </c>
      <c r="L5" s="40"/>
    </row>
    <row r="6" spans="1:12" x14ac:dyDescent="0.55000000000000004">
      <c r="A6" s="17"/>
      <c r="B6" s="25"/>
      <c r="C6" s="14"/>
      <c r="D6" s="14"/>
      <c r="E6" s="14"/>
      <c r="F6" s="14"/>
      <c r="G6" s="15"/>
      <c r="L6" s="40"/>
    </row>
    <row r="7" spans="1:12" x14ac:dyDescent="0.55000000000000004">
      <c r="A7" s="17"/>
      <c r="B7" s="13" t="s">
        <v>28</v>
      </c>
      <c r="C7" s="14"/>
      <c r="D7" s="14"/>
      <c r="E7" s="14"/>
      <c r="F7" s="14"/>
      <c r="G7" s="15"/>
    </row>
    <row r="8" spans="1:12" s="1" customFormat="1" x14ac:dyDescent="0.55000000000000004">
      <c r="A8" s="32"/>
      <c r="B8" s="470"/>
      <c r="C8" s="469"/>
      <c r="D8" s="469"/>
      <c r="E8" s="469"/>
      <c r="F8" s="469"/>
      <c r="G8" s="471"/>
      <c r="I8" s="160"/>
    </row>
    <row r="9" spans="1:12" s="1" customFormat="1" x14ac:dyDescent="0.55000000000000004">
      <c r="A9" s="32"/>
      <c r="B9" s="470"/>
      <c r="C9" s="469"/>
      <c r="D9" s="469"/>
      <c r="E9" s="469"/>
      <c r="F9" s="469"/>
      <c r="G9" s="471"/>
      <c r="I9" s="160"/>
    </row>
    <row r="10" spans="1:12" s="1" customFormat="1" x14ac:dyDescent="0.55000000000000004">
      <c r="A10" s="32"/>
      <c r="B10" s="470"/>
      <c r="C10" s="469"/>
      <c r="D10" s="469"/>
      <c r="E10" s="469"/>
      <c r="F10" s="469"/>
      <c r="G10" s="471"/>
      <c r="I10" s="160"/>
    </row>
    <row r="11" spans="1:12" s="1" customFormat="1" x14ac:dyDescent="0.55000000000000004">
      <c r="A11" s="32"/>
      <c r="B11" s="470"/>
      <c r="C11" s="469"/>
      <c r="D11" s="469"/>
      <c r="E11" s="469"/>
      <c r="F11" s="469"/>
      <c r="G11" s="471"/>
      <c r="I11" s="160"/>
    </row>
    <row r="12" spans="1:12" s="1" customFormat="1" x14ac:dyDescent="0.55000000000000004">
      <c r="A12" s="32"/>
      <c r="B12" s="470"/>
      <c r="C12" s="469"/>
      <c r="D12" s="469"/>
      <c r="E12" s="469"/>
      <c r="F12" s="469"/>
      <c r="G12" s="471"/>
      <c r="I12" s="160"/>
    </row>
    <row r="13" spans="1:12" s="1" customFormat="1" x14ac:dyDescent="0.55000000000000004">
      <c r="A13" s="32"/>
      <c r="B13" s="305" t="s">
        <v>73</v>
      </c>
      <c r="C13" s="31"/>
      <c r="D13" s="31"/>
      <c r="E13" s="31"/>
      <c r="F13" s="31"/>
      <c r="G13" s="301"/>
      <c r="I13" s="160"/>
    </row>
    <row r="14" spans="1:12" s="1" customFormat="1" x14ac:dyDescent="0.55000000000000004">
      <c r="A14" s="32"/>
      <c r="B14" s="470"/>
      <c r="C14" s="469"/>
      <c r="D14" s="469"/>
      <c r="E14" s="469"/>
      <c r="F14" s="469"/>
      <c r="G14" s="471"/>
      <c r="I14" s="160"/>
    </row>
    <row r="15" spans="1:12" s="1" customFormat="1" x14ac:dyDescent="0.55000000000000004">
      <c r="A15" s="32"/>
      <c r="B15" s="470"/>
      <c r="C15" s="469"/>
      <c r="D15" s="469"/>
      <c r="E15" s="469"/>
      <c r="F15" s="469"/>
      <c r="G15" s="471"/>
      <c r="I15" s="160"/>
    </row>
    <row r="16" spans="1:12" s="1" customFormat="1" x14ac:dyDescent="0.55000000000000004">
      <c r="A16" s="32"/>
      <c r="B16" s="470"/>
      <c r="C16" s="469"/>
      <c r="D16" s="469"/>
      <c r="E16" s="469"/>
      <c r="F16" s="469"/>
      <c r="G16" s="471"/>
      <c r="I16" s="160"/>
    </row>
    <row r="17" spans="1:10" s="1" customFormat="1" x14ac:dyDescent="0.55000000000000004">
      <c r="A17" s="32"/>
      <c r="B17" s="470"/>
      <c r="C17" s="469"/>
      <c r="D17" s="469"/>
      <c r="E17" s="469"/>
      <c r="F17" s="469"/>
      <c r="G17" s="471"/>
      <c r="I17" s="160"/>
    </row>
    <row r="18" spans="1:10" s="1" customFormat="1" x14ac:dyDescent="0.55000000000000004">
      <c r="A18" s="32"/>
      <c r="B18" s="305" t="s">
        <v>125</v>
      </c>
      <c r="C18" s="31"/>
      <c r="D18" s="31"/>
      <c r="E18" s="31"/>
      <c r="F18" s="31"/>
      <c r="G18" s="301"/>
      <c r="I18" s="160"/>
    </row>
    <row r="19" spans="1:10" s="1" customFormat="1" x14ac:dyDescent="0.55000000000000004">
      <c r="A19" s="32"/>
      <c r="B19" s="470"/>
      <c r="C19" s="469"/>
      <c r="D19" s="469"/>
      <c r="E19" s="469"/>
      <c r="F19" s="469"/>
      <c r="G19" s="471"/>
      <c r="I19" s="160"/>
    </row>
    <row r="20" spans="1:10" s="1" customFormat="1" x14ac:dyDescent="0.55000000000000004">
      <c r="A20" s="32"/>
      <c r="B20" s="470"/>
      <c r="C20" s="469"/>
      <c r="D20" s="469"/>
      <c r="E20" s="469"/>
      <c r="F20" s="469"/>
      <c r="G20" s="471"/>
      <c r="I20" s="160"/>
    </row>
    <row r="21" spans="1:10" s="1" customFormat="1" x14ac:dyDescent="0.55000000000000004">
      <c r="A21" s="34"/>
      <c r="B21" s="473"/>
      <c r="C21" s="474"/>
      <c r="D21" s="474"/>
      <c r="E21" s="474"/>
      <c r="F21" s="474"/>
      <c r="G21" s="475"/>
      <c r="I21" s="160"/>
    </row>
    <row r="22" spans="1:10" x14ac:dyDescent="0.55000000000000004">
      <c r="A22" s="115" t="s">
        <v>11</v>
      </c>
      <c r="B22" s="51"/>
      <c r="C22" s="51"/>
      <c r="D22" s="51"/>
      <c r="E22" s="51"/>
      <c r="F22" s="51"/>
      <c r="G22" s="51"/>
    </row>
    <row r="23" spans="1:10" ht="43.5" x14ac:dyDescent="0.55000000000000004">
      <c r="A23" s="476" t="s">
        <v>12</v>
      </c>
      <c r="B23" s="476"/>
      <c r="C23" s="476"/>
      <c r="D23" s="121" t="s">
        <v>13</v>
      </c>
      <c r="E23" s="121" t="s">
        <v>14</v>
      </c>
      <c r="F23" s="121" t="s">
        <v>403</v>
      </c>
      <c r="G23" s="121" t="s">
        <v>16</v>
      </c>
      <c r="I23" s="5">
        <v>0</v>
      </c>
    </row>
    <row r="24" spans="1:10" ht="42.75" customHeight="1" x14ac:dyDescent="0.55000000000000004">
      <c r="A24" s="477" t="s">
        <v>113</v>
      </c>
      <c r="B24" s="477"/>
      <c r="C24" s="477"/>
      <c r="D24" s="228">
        <v>3</v>
      </c>
      <c r="E24" s="228">
        <v>3</v>
      </c>
      <c r="F24" s="41">
        <f>E24</f>
        <v>3</v>
      </c>
      <c r="G24" s="88" t="str">
        <f>IF(E24&gt;=D24,"บรรลุ","ไม่บรรลุ")</f>
        <v>บรรลุ</v>
      </c>
      <c r="I24" s="59">
        <v>1</v>
      </c>
      <c r="J24" s="5"/>
    </row>
    <row r="25" spans="1:10" s="1" customFormat="1" x14ac:dyDescent="0.55000000000000004">
      <c r="A25" s="294"/>
      <c r="B25" s="294"/>
      <c r="C25" s="294"/>
      <c r="D25" s="294"/>
      <c r="E25" s="294"/>
      <c r="F25" s="294"/>
      <c r="G25" s="294"/>
      <c r="I25" s="160">
        <v>2</v>
      </c>
      <c r="J25" s="160"/>
    </row>
    <row r="26" spans="1:10" s="1" customFormat="1" x14ac:dyDescent="0.55000000000000004">
      <c r="A26" s="294"/>
      <c r="B26" s="294"/>
      <c r="C26" s="294"/>
      <c r="D26" s="420"/>
      <c r="E26" s="294"/>
      <c r="F26" s="294"/>
      <c r="G26" s="294"/>
      <c r="I26" s="423">
        <v>3</v>
      </c>
      <c r="J26" s="160"/>
    </row>
    <row r="27" spans="1:10" s="1" customFormat="1" x14ac:dyDescent="0.55000000000000004">
      <c r="A27" s="294"/>
      <c r="B27" s="294"/>
      <c r="C27" s="294"/>
      <c r="D27" s="294"/>
      <c r="E27" s="294"/>
      <c r="F27" s="294"/>
      <c r="G27" s="294"/>
      <c r="I27" s="160">
        <v>4</v>
      </c>
      <c r="J27" s="160"/>
    </row>
    <row r="28" spans="1:10" s="1" customFormat="1" x14ac:dyDescent="0.55000000000000004">
      <c r="A28" s="294"/>
      <c r="B28" s="294"/>
      <c r="C28" s="294"/>
      <c r="D28" s="294"/>
      <c r="E28" s="294"/>
      <c r="F28" s="294"/>
      <c r="G28" s="294"/>
      <c r="I28" s="423">
        <v>5</v>
      </c>
      <c r="J28" s="160"/>
    </row>
    <row r="29" spans="1:10" x14ac:dyDescent="0.55000000000000004">
      <c r="A29" s="51"/>
      <c r="B29" s="51"/>
      <c r="C29" s="51"/>
      <c r="D29" s="51"/>
      <c r="E29" s="51"/>
      <c r="F29" s="51"/>
      <c r="G29" s="51"/>
    </row>
    <row r="30" spans="1:10" x14ac:dyDescent="0.55000000000000004">
      <c r="A30" s="51"/>
      <c r="B30" s="51"/>
      <c r="C30" s="51"/>
      <c r="D30" s="51"/>
      <c r="E30" s="51"/>
      <c r="F30" s="51"/>
      <c r="G30" s="51"/>
    </row>
  </sheetData>
  <sheetProtection sheet="1" objects="1" scenarios="1" formatRows="0" insertRows="0"/>
  <mergeCells count="15">
    <mergeCell ref="B12:G12"/>
    <mergeCell ref="B2:G2"/>
    <mergeCell ref="B8:G8"/>
    <mergeCell ref="B9:G9"/>
    <mergeCell ref="B10:G10"/>
    <mergeCell ref="B11:G11"/>
    <mergeCell ref="B21:G21"/>
    <mergeCell ref="A23:C23"/>
    <mergeCell ref="A24:C24"/>
    <mergeCell ref="B14:G14"/>
    <mergeCell ref="B15:G15"/>
    <mergeCell ref="B16:G16"/>
    <mergeCell ref="B17:G17"/>
    <mergeCell ref="B19:G19"/>
    <mergeCell ref="B20:G20"/>
  </mergeCells>
  <dataValidations count="1">
    <dataValidation type="list" allowBlank="1" showInputMessage="1" showErrorMessage="1" sqref="D24:E24">
      <formula1>$I$23:$I$28</formula1>
    </dataValidation>
  </dataValidations>
  <hyperlinks>
    <hyperlink ref="H3" location="ข้อมูลพื้นฐาน!A1" display="Main Menu"/>
    <hyperlink ref="H5" location="'หมวด3-3.3'!A1" display="Next &gt;&gt; ตัวบ่งชี้ที่ 3.3"/>
    <hyperlink ref="H4" location="'หมวด3-3.1'!A1" display="&lt;&lt; Previois ตัวบ่งชี้ที่ 3.1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theme="8" tint="0.79998168889431442"/>
  </sheetPr>
  <dimension ref="A1:T80"/>
  <sheetViews>
    <sheetView showGridLines="0" zoomScale="115" zoomScaleNormal="115" zoomScaleSheetLayoutView="115" workbookViewId="0">
      <selection activeCell="C4" sqref="C4"/>
    </sheetView>
  </sheetViews>
  <sheetFormatPr defaultRowHeight="24" x14ac:dyDescent="0.55000000000000004"/>
  <cols>
    <col min="1" max="1" width="6" style="2" customWidth="1"/>
    <col min="2" max="2" width="2.125" style="2" customWidth="1"/>
    <col min="3" max="3" width="10" style="2" customWidth="1"/>
    <col min="4" max="5" width="3.5" style="2" customWidth="1"/>
    <col min="6" max="6" width="6" style="2" customWidth="1"/>
    <col min="7" max="12" width="3.125" style="2" customWidth="1"/>
    <col min="13" max="13" width="6" style="2" customWidth="1"/>
    <col min="14" max="15" width="5.5" style="2" customWidth="1"/>
    <col min="16" max="16" width="6.25" style="2" customWidth="1"/>
    <col min="17" max="17" width="6.375" style="2" customWidth="1"/>
    <col min="18" max="18" width="32.75" style="2" customWidth="1"/>
    <col min="19" max="19" width="20" style="2" hidden="1" customWidth="1"/>
    <col min="20" max="16384" width="9" style="2"/>
  </cols>
  <sheetData>
    <row r="1" spans="1:18" x14ac:dyDescent="0.55000000000000004">
      <c r="A1" s="37" t="s">
        <v>107</v>
      </c>
    </row>
    <row r="2" spans="1:18" x14ac:dyDescent="0.55000000000000004">
      <c r="A2" s="89" t="s">
        <v>12</v>
      </c>
      <c r="B2" s="472" t="s">
        <v>23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18" x14ac:dyDescent="0.55000000000000004">
      <c r="A3" s="266">
        <v>3.3</v>
      </c>
      <c r="B3" s="194" t="s">
        <v>114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181" t="s">
        <v>346</v>
      </c>
    </row>
    <row r="4" spans="1:18" x14ac:dyDescent="0.55000000000000004">
      <c r="A4" s="17"/>
      <c r="B4" s="25" t="s">
        <v>115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82" t="s">
        <v>385</v>
      </c>
    </row>
    <row r="5" spans="1:18" x14ac:dyDescent="0.55000000000000004">
      <c r="A5" s="17"/>
      <c r="B5" s="25" t="s">
        <v>116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83" t="s">
        <v>386</v>
      </c>
    </row>
    <row r="6" spans="1:18" x14ac:dyDescent="0.55000000000000004">
      <c r="A6" s="17"/>
      <c r="B6" s="25" t="s">
        <v>117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8" ht="21" customHeight="1" x14ac:dyDescent="0.55000000000000004">
      <c r="A7" s="17"/>
      <c r="B7" s="25"/>
      <c r="C7" s="624" t="s">
        <v>409</v>
      </c>
      <c r="D7" s="615" t="s">
        <v>413</v>
      </c>
      <c r="E7" s="616"/>
      <c r="F7" s="635" t="s">
        <v>437</v>
      </c>
      <c r="G7" s="635"/>
      <c r="H7" s="635"/>
      <c r="I7" s="635"/>
      <c r="J7" s="635"/>
      <c r="K7" s="635"/>
      <c r="L7" s="635"/>
      <c r="M7" s="616"/>
      <c r="N7" s="636" t="s">
        <v>438</v>
      </c>
      <c r="O7" s="527" t="s">
        <v>439</v>
      </c>
      <c r="P7" s="624" t="s">
        <v>426</v>
      </c>
      <c r="Q7" s="636" t="s">
        <v>412</v>
      </c>
    </row>
    <row r="8" spans="1:18" ht="41.25" customHeight="1" thickBot="1" x14ac:dyDescent="0.6">
      <c r="A8" s="17"/>
      <c r="B8" s="25"/>
      <c r="C8" s="639"/>
      <c r="D8" s="617"/>
      <c r="E8" s="618"/>
      <c r="F8" s="242">
        <f>G8-1</f>
        <v>2559</v>
      </c>
      <c r="G8" s="624">
        <f>I8-1</f>
        <v>2560</v>
      </c>
      <c r="H8" s="624"/>
      <c r="I8" s="624">
        <f>K8-1</f>
        <v>2561</v>
      </c>
      <c r="J8" s="624"/>
      <c r="K8" s="624">
        <f>M8-1</f>
        <v>2562</v>
      </c>
      <c r="L8" s="624"/>
      <c r="M8" s="245">
        <f>ปีประเมิน</f>
        <v>2563</v>
      </c>
      <c r="N8" s="636"/>
      <c r="O8" s="527"/>
      <c r="P8" s="639"/>
      <c r="Q8" s="636"/>
    </row>
    <row r="9" spans="1:18" ht="24.75" thickBot="1" x14ac:dyDescent="0.6">
      <c r="A9" s="17"/>
      <c r="B9" s="25"/>
      <c r="C9" s="209">
        <f>C10-1</f>
        <v>2558</v>
      </c>
      <c r="D9" s="619">
        <v>20</v>
      </c>
      <c r="E9" s="620"/>
      <c r="F9" s="306"/>
      <c r="G9" s="632"/>
      <c r="H9" s="628"/>
      <c r="I9" s="630"/>
      <c r="J9" s="631"/>
      <c r="K9" s="625"/>
      <c r="L9" s="626"/>
      <c r="M9" s="307"/>
      <c r="N9" s="119"/>
      <c r="O9" s="116">
        <f t="shared" ref="O9:O14" si="0">D9-SUM(F9:N9)</f>
        <v>20</v>
      </c>
      <c r="P9" s="193">
        <f>IF(ISERROR((D9-N9)/D9)*100,"-",((D9-N9)/D9)*100)</f>
        <v>100</v>
      </c>
      <c r="Q9" s="231">
        <f t="shared" ref="Q9:Q15" si="1">IF(SUM(F9:N9)&gt;D9,"-",IF(ISERR(SUM(F9:M9)/D9*100),"-",SUM(F9:M9)/D9*100))</f>
        <v>0</v>
      </c>
      <c r="R9" s="240" t="s">
        <v>433</v>
      </c>
    </row>
    <row r="10" spans="1:18" ht="24.75" thickBot="1" x14ac:dyDescent="0.6">
      <c r="A10" s="17"/>
      <c r="B10" s="25"/>
      <c r="C10" s="209">
        <f>C11-1</f>
        <v>2559</v>
      </c>
      <c r="D10" s="619">
        <v>20</v>
      </c>
      <c r="E10" s="620"/>
      <c r="F10" s="308"/>
      <c r="G10" s="637"/>
      <c r="H10" s="638"/>
      <c r="I10" s="627"/>
      <c r="J10" s="628"/>
      <c r="K10" s="630"/>
      <c r="L10" s="631"/>
      <c r="M10" s="309"/>
      <c r="N10" s="119"/>
      <c r="O10" s="116">
        <f t="shared" si="0"/>
        <v>20</v>
      </c>
      <c r="P10" s="231">
        <f t="shared" ref="P10:P15" si="2">IF(ISERROR((D10-N10)/D10)*100,"-",((D10-N10)/D10)*100)</f>
        <v>100</v>
      </c>
      <c r="Q10" s="231">
        <f t="shared" si="1"/>
        <v>0</v>
      </c>
      <c r="R10" s="243" t="s">
        <v>434</v>
      </c>
    </row>
    <row r="11" spans="1:18" ht="24.75" thickBot="1" x14ac:dyDescent="0.6">
      <c r="A11" s="17"/>
      <c r="B11" s="25"/>
      <c r="C11" s="209">
        <f>C12-1</f>
        <v>2560</v>
      </c>
      <c r="D11" s="619">
        <v>20</v>
      </c>
      <c r="E11" s="621"/>
      <c r="F11" s="310"/>
      <c r="G11" s="633"/>
      <c r="H11" s="634"/>
      <c r="I11" s="637"/>
      <c r="J11" s="638"/>
      <c r="K11" s="627"/>
      <c r="L11" s="628"/>
      <c r="M11" s="311"/>
      <c r="N11" s="119"/>
      <c r="O11" s="116">
        <f t="shared" si="0"/>
        <v>20</v>
      </c>
      <c r="P11" s="231">
        <f t="shared" si="2"/>
        <v>100</v>
      </c>
      <c r="Q11" s="231">
        <f t="shared" si="1"/>
        <v>0</v>
      </c>
      <c r="R11" s="244" t="s">
        <v>435</v>
      </c>
    </row>
    <row r="12" spans="1:18" ht="24.75" thickBot="1" x14ac:dyDescent="0.6">
      <c r="A12" s="17"/>
      <c r="B12" s="25"/>
      <c r="C12" s="209">
        <f>C13-1</f>
        <v>2561</v>
      </c>
      <c r="D12" s="619">
        <v>20</v>
      </c>
      <c r="E12" s="621"/>
      <c r="F12" s="310"/>
      <c r="G12" s="622"/>
      <c r="H12" s="623"/>
      <c r="I12" s="633"/>
      <c r="J12" s="640"/>
      <c r="K12" s="637"/>
      <c r="L12" s="638"/>
      <c r="M12" s="312"/>
      <c r="N12" s="119"/>
      <c r="O12" s="116">
        <f t="shared" si="0"/>
        <v>20</v>
      </c>
      <c r="P12" s="231">
        <f t="shared" si="2"/>
        <v>100</v>
      </c>
      <c r="Q12" s="231">
        <f t="shared" si="1"/>
        <v>0</v>
      </c>
      <c r="R12" s="241" t="s">
        <v>436</v>
      </c>
    </row>
    <row r="13" spans="1:18" ht="24.75" thickBot="1" x14ac:dyDescent="0.6">
      <c r="A13" s="17"/>
      <c r="B13" s="25"/>
      <c r="C13" s="209">
        <f>C14-1</f>
        <v>2562</v>
      </c>
      <c r="D13" s="619">
        <v>20</v>
      </c>
      <c r="E13" s="621"/>
      <c r="F13" s="310"/>
      <c r="G13" s="622"/>
      <c r="H13" s="623"/>
      <c r="I13" s="622"/>
      <c r="J13" s="623"/>
      <c r="K13" s="622"/>
      <c r="L13" s="629"/>
      <c r="M13" s="313"/>
      <c r="N13" s="119"/>
      <c r="O13" s="116">
        <f t="shared" si="0"/>
        <v>20</v>
      </c>
      <c r="P13" s="231">
        <f t="shared" si="2"/>
        <v>100</v>
      </c>
      <c r="Q13" s="231">
        <f t="shared" si="1"/>
        <v>0</v>
      </c>
    </row>
    <row r="14" spans="1:18" x14ac:dyDescent="0.55000000000000004">
      <c r="A14" s="17"/>
      <c r="B14" s="25"/>
      <c r="C14" s="209">
        <f>ปีประเมิน</f>
        <v>2563</v>
      </c>
      <c r="D14" s="619">
        <v>20</v>
      </c>
      <c r="E14" s="621"/>
      <c r="F14" s="310"/>
      <c r="G14" s="622"/>
      <c r="H14" s="623"/>
      <c r="I14" s="622"/>
      <c r="J14" s="623"/>
      <c r="K14" s="622"/>
      <c r="L14" s="623"/>
      <c r="M14" s="314"/>
      <c r="N14" s="119"/>
      <c r="O14" s="116">
        <f t="shared" si="0"/>
        <v>20</v>
      </c>
      <c r="P14" s="231">
        <f t="shared" si="2"/>
        <v>100</v>
      </c>
      <c r="Q14" s="231">
        <f t="shared" si="1"/>
        <v>0</v>
      </c>
      <c r="R14" s="2" t="s">
        <v>424</v>
      </c>
    </row>
    <row r="15" spans="1:18" x14ac:dyDescent="0.55000000000000004">
      <c r="A15" s="17"/>
      <c r="B15" s="25"/>
      <c r="C15" s="224" t="s">
        <v>71</v>
      </c>
      <c r="D15" s="543">
        <f>SUM(D9:E14)</f>
        <v>120</v>
      </c>
      <c r="E15" s="544"/>
      <c r="F15" s="226">
        <f>SUM(F9:F14)</f>
        <v>0</v>
      </c>
      <c r="G15" s="653">
        <f>SUM(G9:H14)</f>
        <v>0</v>
      </c>
      <c r="H15" s="654"/>
      <c r="I15" s="653">
        <f>SUM(I9:J14)</f>
        <v>0</v>
      </c>
      <c r="J15" s="654"/>
      <c r="K15" s="653">
        <f>SUM(K9:L14)</f>
        <v>0</v>
      </c>
      <c r="L15" s="654"/>
      <c r="M15" s="247">
        <f>SUM(M9:M14)</f>
        <v>0</v>
      </c>
      <c r="N15" s="226">
        <f>SUM(N9:N14)</f>
        <v>0</v>
      </c>
      <c r="O15" s="116">
        <f>SUM(O9:O14)</f>
        <v>120</v>
      </c>
      <c r="P15" s="231">
        <f t="shared" si="2"/>
        <v>100</v>
      </c>
      <c r="Q15" s="231">
        <f t="shared" si="1"/>
        <v>0</v>
      </c>
      <c r="R15" s="2" t="s">
        <v>440</v>
      </c>
    </row>
    <row r="16" spans="1:18" x14ac:dyDescent="0.55000000000000004">
      <c r="A16" s="17"/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</row>
    <row r="17" spans="1:17" x14ac:dyDescent="0.55000000000000004">
      <c r="A17" s="17"/>
      <c r="B17" s="2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</row>
    <row r="18" spans="1:17" x14ac:dyDescent="0.55000000000000004">
      <c r="A18" s="17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</row>
    <row r="19" spans="1:17" x14ac:dyDescent="0.55000000000000004">
      <c r="A19" s="17"/>
      <c r="B19" s="2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x14ac:dyDescent="0.55000000000000004">
      <c r="A20" s="17"/>
      <c r="B20" s="2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1:17" x14ac:dyDescent="0.55000000000000004">
      <c r="A21" s="17"/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x14ac:dyDescent="0.55000000000000004">
      <c r="A22" s="17"/>
      <c r="B22" s="2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1:17" x14ac:dyDescent="0.55000000000000004">
      <c r="A23" s="17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</row>
    <row r="24" spans="1:17" x14ac:dyDescent="0.55000000000000004">
      <c r="A24" s="17"/>
      <c r="B24" s="2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1:17" x14ac:dyDescent="0.55000000000000004">
      <c r="A25" s="17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1:17" x14ac:dyDescent="0.55000000000000004">
      <c r="A26" s="17"/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</row>
    <row r="27" spans="1:17" x14ac:dyDescent="0.55000000000000004">
      <c r="A27" s="17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x14ac:dyDescent="0.55000000000000004">
      <c r="A28" s="17"/>
      <c r="B28" s="2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  <row r="29" spans="1:17" x14ac:dyDescent="0.55000000000000004">
      <c r="A29" s="17"/>
      <c r="B29" s="2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</row>
    <row r="30" spans="1:17" x14ac:dyDescent="0.55000000000000004">
      <c r="A30" s="17"/>
      <c r="B30" s="2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x14ac:dyDescent="0.55000000000000004">
      <c r="A31" s="17"/>
      <c r="B31" s="2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</row>
    <row r="32" spans="1:17" x14ac:dyDescent="0.55000000000000004">
      <c r="A32" s="17"/>
      <c r="B32" s="2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</row>
    <row r="33" spans="1:17" x14ac:dyDescent="0.55000000000000004">
      <c r="A33" s="17"/>
      <c r="B33" s="2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</row>
    <row r="34" spans="1:17" x14ac:dyDescent="0.55000000000000004">
      <c r="A34" s="17"/>
      <c r="B34" s="2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</row>
    <row r="35" spans="1:17" x14ac:dyDescent="0.55000000000000004">
      <c r="A35" s="17"/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</row>
    <row r="36" spans="1:17" x14ac:dyDescent="0.55000000000000004">
      <c r="A36" s="17"/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x14ac:dyDescent="0.55000000000000004">
      <c r="A37" s="17"/>
      <c r="B37" s="25"/>
      <c r="C37" s="585" t="s">
        <v>408</v>
      </c>
      <c r="D37" s="585"/>
      <c r="E37" s="585"/>
      <c r="F37" s="585"/>
      <c r="G37" s="585"/>
      <c r="H37" s="585"/>
      <c r="I37" s="585"/>
      <c r="J37" s="585"/>
      <c r="K37" s="585"/>
      <c r="L37" s="585"/>
      <c r="M37" s="641" t="s">
        <v>409</v>
      </c>
      <c r="N37" s="642"/>
      <c r="O37" s="583"/>
      <c r="P37" s="248"/>
      <c r="Q37" s="15"/>
    </row>
    <row r="38" spans="1:17" x14ac:dyDescent="0.55000000000000004">
      <c r="A38" s="17"/>
      <c r="B38" s="25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226">
        <f>N38-1</f>
        <v>2561</v>
      </c>
      <c r="N38" s="226">
        <f>O38-1</f>
        <v>2562</v>
      </c>
      <c r="O38" s="226">
        <f>ปีประเมิน</f>
        <v>2563</v>
      </c>
      <c r="P38" s="249"/>
      <c r="Q38" s="15"/>
    </row>
    <row r="39" spans="1:17" ht="21" customHeight="1" x14ac:dyDescent="0.55000000000000004">
      <c r="A39" s="17"/>
      <c r="B39" s="25"/>
      <c r="C39" s="655" t="s">
        <v>414</v>
      </c>
      <c r="D39" s="655"/>
      <c r="E39" s="655"/>
      <c r="F39" s="655"/>
      <c r="G39" s="655"/>
      <c r="H39" s="655"/>
      <c r="I39" s="655"/>
      <c r="J39" s="655"/>
      <c r="K39" s="655"/>
      <c r="L39" s="655"/>
      <c r="M39" s="315">
        <v>3</v>
      </c>
      <c r="N39" s="315">
        <v>5</v>
      </c>
      <c r="O39" s="315">
        <v>4</v>
      </c>
      <c r="P39" s="250"/>
      <c r="Q39" s="15"/>
    </row>
    <row r="40" spans="1:17" x14ac:dyDescent="0.55000000000000004">
      <c r="A40" s="17"/>
      <c r="B40" s="25"/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315"/>
      <c r="N40" s="315"/>
      <c r="O40" s="315"/>
      <c r="P40" s="250"/>
      <c r="Q40" s="15"/>
    </row>
    <row r="41" spans="1:17" x14ac:dyDescent="0.55000000000000004">
      <c r="A41" s="17"/>
      <c r="B41" s="25"/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315"/>
      <c r="N41" s="315"/>
      <c r="O41" s="315"/>
      <c r="P41" s="250"/>
      <c r="Q41" s="15"/>
    </row>
    <row r="42" spans="1:17" x14ac:dyDescent="0.55000000000000004">
      <c r="A42" s="17"/>
      <c r="B42" s="25"/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315"/>
      <c r="N42" s="315"/>
      <c r="O42" s="315"/>
      <c r="P42" s="250"/>
      <c r="Q42" s="15"/>
    </row>
    <row r="43" spans="1:17" x14ac:dyDescent="0.55000000000000004">
      <c r="A43" s="17"/>
      <c r="B43" s="25"/>
      <c r="C43" s="655"/>
      <c r="D43" s="655"/>
      <c r="E43" s="655"/>
      <c r="F43" s="655"/>
      <c r="G43" s="655"/>
      <c r="H43" s="655"/>
      <c r="I43" s="655"/>
      <c r="J43" s="655"/>
      <c r="K43" s="655"/>
      <c r="L43" s="655"/>
      <c r="M43" s="315"/>
      <c r="N43" s="315"/>
      <c r="O43" s="315"/>
      <c r="P43" s="250"/>
      <c r="Q43" s="15"/>
    </row>
    <row r="44" spans="1:17" x14ac:dyDescent="0.55000000000000004">
      <c r="A44" s="17"/>
      <c r="B44" s="25"/>
      <c r="C44" s="655"/>
      <c r="D44" s="655"/>
      <c r="E44" s="655"/>
      <c r="F44" s="655"/>
      <c r="G44" s="655"/>
      <c r="H44" s="655"/>
      <c r="I44" s="655"/>
      <c r="J44" s="655"/>
      <c r="K44" s="655"/>
      <c r="L44" s="655"/>
      <c r="M44" s="315"/>
      <c r="N44" s="315"/>
      <c r="O44" s="315"/>
      <c r="P44" s="250"/>
      <c r="Q44" s="15"/>
    </row>
    <row r="45" spans="1:17" x14ac:dyDescent="0.55000000000000004">
      <c r="A45" s="17"/>
      <c r="B45" s="25"/>
      <c r="C45" s="585" t="s">
        <v>410</v>
      </c>
      <c r="D45" s="585"/>
      <c r="E45" s="585"/>
      <c r="F45" s="585"/>
      <c r="G45" s="585"/>
      <c r="H45" s="585"/>
      <c r="I45" s="585"/>
      <c r="J45" s="585"/>
      <c r="K45" s="585"/>
      <c r="L45" s="585"/>
      <c r="M45" s="83">
        <f>AVERAGE(M39:M44)</f>
        <v>3</v>
      </c>
      <c r="N45" s="83">
        <f>AVERAGE(N39:N44)</f>
        <v>5</v>
      </c>
      <c r="O45" s="83">
        <f>AVERAGE(O39:O44)</f>
        <v>4</v>
      </c>
      <c r="P45" s="250"/>
      <c r="Q45" s="15"/>
    </row>
    <row r="46" spans="1:17" x14ac:dyDescent="0.55000000000000004">
      <c r="A46" s="17"/>
      <c r="B46" s="2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</row>
    <row r="47" spans="1:17" x14ac:dyDescent="0.55000000000000004">
      <c r="A47" s="17"/>
      <c r="B47" s="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</row>
    <row r="48" spans="1:17" x14ac:dyDescent="0.55000000000000004">
      <c r="A48" s="17"/>
      <c r="B48" s="2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</row>
    <row r="49" spans="1:17" x14ac:dyDescent="0.55000000000000004">
      <c r="A49" s="17"/>
      <c r="B49" s="2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</row>
    <row r="50" spans="1:17" x14ac:dyDescent="0.55000000000000004">
      <c r="A50" s="17"/>
      <c r="B50" s="2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</row>
    <row r="51" spans="1:17" x14ac:dyDescent="0.55000000000000004">
      <c r="A51" s="17"/>
      <c r="B51" s="2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</row>
    <row r="52" spans="1:17" x14ac:dyDescent="0.55000000000000004">
      <c r="A52" s="17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</row>
    <row r="53" spans="1:17" x14ac:dyDescent="0.55000000000000004">
      <c r="A53" s="17"/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</row>
    <row r="54" spans="1:17" x14ac:dyDescent="0.55000000000000004">
      <c r="A54" s="17"/>
      <c r="B54" s="2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</row>
    <row r="55" spans="1:17" x14ac:dyDescent="0.55000000000000004">
      <c r="A55" s="17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</row>
    <row r="56" spans="1:17" x14ac:dyDescent="0.55000000000000004">
      <c r="A56" s="17"/>
      <c r="B56" s="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</row>
    <row r="57" spans="1:17" x14ac:dyDescent="0.55000000000000004">
      <c r="A57" s="17"/>
      <c r="B57" s="13" t="s">
        <v>28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1:17" s="1" customFormat="1" x14ac:dyDescent="0.55000000000000004">
      <c r="A58" s="32"/>
      <c r="B58" s="470"/>
      <c r="C58" s="469"/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71"/>
    </row>
    <row r="59" spans="1:17" s="1" customFormat="1" x14ac:dyDescent="0.55000000000000004">
      <c r="A59" s="32"/>
      <c r="B59" s="470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71"/>
    </row>
    <row r="60" spans="1:17" s="1" customFormat="1" x14ac:dyDescent="0.55000000000000004">
      <c r="A60" s="32"/>
      <c r="B60" s="470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71"/>
    </row>
    <row r="61" spans="1:17" s="1" customFormat="1" x14ac:dyDescent="0.55000000000000004">
      <c r="A61" s="32"/>
      <c r="B61" s="470"/>
      <c r="C61" s="469"/>
      <c r="D61" s="469"/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P61" s="469"/>
      <c r="Q61" s="471"/>
    </row>
    <row r="62" spans="1:17" s="1" customFormat="1" x14ac:dyDescent="0.55000000000000004">
      <c r="A62" s="32"/>
      <c r="B62" s="470"/>
      <c r="C62" s="469"/>
      <c r="D62" s="469"/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P62" s="469"/>
      <c r="Q62" s="471"/>
    </row>
    <row r="63" spans="1:17" s="1" customFormat="1" x14ac:dyDescent="0.55000000000000004">
      <c r="A63" s="32"/>
      <c r="B63" s="305" t="s">
        <v>73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01"/>
    </row>
    <row r="64" spans="1:17" s="1" customFormat="1" x14ac:dyDescent="0.55000000000000004">
      <c r="A64" s="32"/>
      <c r="B64" s="470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471"/>
    </row>
    <row r="65" spans="1:20" s="1" customFormat="1" x14ac:dyDescent="0.55000000000000004">
      <c r="A65" s="32"/>
      <c r="B65" s="470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71"/>
    </row>
    <row r="66" spans="1:20" s="1" customFormat="1" x14ac:dyDescent="0.55000000000000004">
      <c r="A66" s="32"/>
      <c r="B66" s="470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471"/>
    </row>
    <row r="67" spans="1:20" s="1" customFormat="1" x14ac:dyDescent="0.55000000000000004">
      <c r="A67" s="32"/>
      <c r="B67" s="470"/>
      <c r="C67" s="469"/>
      <c r="D67" s="469"/>
      <c r="E67" s="469"/>
      <c r="F67" s="469"/>
      <c r="G67" s="469"/>
      <c r="H67" s="469"/>
      <c r="I67" s="469"/>
      <c r="J67" s="469"/>
      <c r="K67" s="469"/>
      <c r="L67" s="469"/>
      <c r="M67" s="469"/>
      <c r="N67" s="469"/>
      <c r="O67" s="469"/>
      <c r="P67" s="469"/>
      <c r="Q67" s="471"/>
    </row>
    <row r="68" spans="1:20" s="1" customFormat="1" x14ac:dyDescent="0.55000000000000004">
      <c r="A68" s="32"/>
      <c r="B68" s="305" t="s">
        <v>125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01"/>
    </row>
    <row r="69" spans="1:20" s="1" customFormat="1" x14ac:dyDescent="0.55000000000000004">
      <c r="A69" s="32"/>
      <c r="B69" s="470"/>
      <c r="C69" s="469"/>
      <c r="D69" s="469"/>
      <c r="E69" s="469"/>
      <c r="F69" s="469"/>
      <c r="G69" s="469"/>
      <c r="H69" s="469"/>
      <c r="I69" s="469"/>
      <c r="J69" s="469"/>
      <c r="K69" s="469"/>
      <c r="L69" s="469"/>
      <c r="M69" s="469"/>
      <c r="N69" s="469"/>
      <c r="O69" s="469"/>
      <c r="P69" s="469"/>
      <c r="Q69" s="471"/>
    </row>
    <row r="70" spans="1:20" s="1" customFormat="1" x14ac:dyDescent="0.55000000000000004">
      <c r="A70" s="32"/>
      <c r="B70" s="470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471"/>
    </row>
    <row r="71" spans="1:20" s="1" customFormat="1" x14ac:dyDescent="0.55000000000000004">
      <c r="A71" s="34"/>
      <c r="B71" s="473"/>
      <c r="C71" s="474"/>
      <c r="D71" s="474"/>
      <c r="E71" s="474"/>
      <c r="F71" s="474"/>
      <c r="G71" s="474"/>
      <c r="H71" s="474"/>
      <c r="I71" s="474"/>
      <c r="J71" s="474"/>
      <c r="K71" s="474"/>
      <c r="L71" s="474"/>
      <c r="M71" s="474"/>
      <c r="N71" s="474"/>
      <c r="O71" s="474"/>
      <c r="P71" s="474"/>
      <c r="Q71" s="475"/>
    </row>
    <row r="72" spans="1:20" x14ac:dyDescent="0.55000000000000004">
      <c r="A72" s="115" t="s">
        <v>11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20" ht="60" customHeight="1" x14ac:dyDescent="0.55000000000000004">
      <c r="A73" s="643" t="s">
        <v>12</v>
      </c>
      <c r="B73" s="644"/>
      <c r="C73" s="644"/>
      <c r="D73" s="644"/>
      <c r="E73" s="644"/>
      <c r="F73" s="645"/>
      <c r="G73" s="643" t="s">
        <v>13</v>
      </c>
      <c r="H73" s="644"/>
      <c r="I73" s="644"/>
      <c r="J73" s="645"/>
      <c r="K73" s="643" t="s">
        <v>14</v>
      </c>
      <c r="L73" s="644"/>
      <c r="M73" s="645"/>
      <c r="N73" s="476" t="s">
        <v>403</v>
      </c>
      <c r="O73" s="476"/>
      <c r="P73" s="476" t="s">
        <v>16</v>
      </c>
      <c r="Q73" s="476"/>
      <c r="S73" s="2">
        <v>0</v>
      </c>
    </row>
    <row r="74" spans="1:20" ht="42.75" customHeight="1" x14ac:dyDescent="0.55000000000000004">
      <c r="A74" s="650" t="s">
        <v>124</v>
      </c>
      <c r="B74" s="651"/>
      <c r="C74" s="651"/>
      <c r="D74" s="651"/>
      <c r="E74" s="651"/>
      <c r="F74" s="652"/>
      <c r="G74" s="647">
        <v>3</v>
      </c>
      <c r="H74" s="648"/>
      <c r="I74" s="648"/>
      <c r="J74" s="649"/>
      <c r="K74" s="647">
        <v>3</v>
      </c>
      <c r="L74" s="648"/>
      <c r="M74" s="649"/>
      <c r="N74" s="646">
        <f>K74</f>
        <v>3</v>
      </c>
      <c r="O74" s="646"/>
      <c r="P74" s="527" t="str">
        <f>IF(K74&gt;=G74,"บรรลุ","ไม่บรรลุ")</f>
        <v>บรรลุ</v>
      </c>
      <c r="Q74" s="527"/>
      <c r="S74" s="59">
        <v>1</v>
      </c>
      <c r="T74" s="5"/>
    </row>
    <row r="75" spans="1:20" s="1" customFormat="1" x14ac:dyDescent="0.55000000000000004">
      <c r="A75" s="294"/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S75" s="160">
        <v>2</v>
      </c>
      <c r="T75" s="160"/>
    </row>
    <row r="76" spans="1:20" s="1" customFormat="1" x14ac:dyDescent="0.55000000000000004">
      <c r="A76" s="294"/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420"/>
      <c r="Q76" s="294"/>
      <c r="S76" s="423">
        <v>3</v>
      </c>
      <c r="T76" s="160"/>
    </row>
    <row r="77" spans="1:20" s="1" customFormat="1" x14ac:dyDescent="0.55000000000000004">
      <c r="A77" s="294"/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S77" s="160">
        <v>4</v>
      </c>
      <c r="T77" s="160"/>
    </row>
    <row r="78" spans="1:20" x14ac:dyDescent="0.5500000000000000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S78" s="59">
        <v>5</v>
      </c>
      <c r="T78" s="5"/>
    </row>
    <row r="79" spans="1:20" x14ac:dyDescent="0.5500000000000000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</row>
    <row r="80" spans="1:20" x14ac:dyDescent="0.5500000000000000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</row>
  </sheetData>
  <sheetProtection sheet="1" objects="1" scenarios="1" formatCells="0" formatRows="0" insertRows="0" deleteRows="0"/>
  <mergeCells count="70">
    <mergeCell ref="C43:L43"/>
    <mergeCell ref="C44:L44"/>
    <mergeCell ref="C37:L38"/>
    <mergeCell ref="C39:L39"/>
    <mergeCell ref="C40:L40"/>
    <mergeCell ref="C41:L41"/>
    <mergeCell ref="C42:L42"/>
    <mergeCell ref="K74:M74"/>
    <mergeCell ref="G73:J73"/>
    <mergeCell ref="G74:J74"/>
    <mergeCell ref="A73:F73"/>
    <mergeCell ref="A74:F74"/>
    <mergeCell ref="D15:E15"/>
    <mergeCell ref="G15:H15"/>
    <mergeCell ref="I15:J15"/>
    <mergeCell ref="K15:L15"/>
    <mergeCell ref="C45:L45"/>
    <mergeCell ref="N74:O74"/>
    <mergeCell ref="B64:Q64"/>
    <mergeCell ref="B65:Q65"/>
    <mergeCell ref="B66:Q66"/>
    <mergeCell ref="B67:Q67"/>
    <mergeCell ref="B69:Q69"/>
    <mergeCell ref="B70:Q70"/>
    <mergeCell ref="P74:Q74"/>
    <mergeCell ref="N73:O73"/>
    <mergeCell ref="B71:Q71"/>
    <mergeCell ref="M37:O37"/>
    <mergeCell ref="K73:M73"/>
    <mergeCell ref="P73:Q73"/>
    <mergeCell ref="B62:Q62"/>
    <mergeCell ref="B2:Q2"/>
    <mergeCell ref="B58:Q58"/>
    <mergeCell ref="B59:Q59"/>
    <mergeCell ref="B60:Q60"/>
    <mergeCell ref="B61:Q61"/>
    <mergeCell ref="K12:L12"/>
    <mergeCell ref="I14:J14"/>
    <mergeCell ref="K14:L14"/>
    <mergeCell ref="C7:C8"/>
    <mergeCell ref="P7:P8"/>
    <mergeCell ref="Q7:Q8"/>
    <mergeCell ref="G12:H12"/>
    <mergeCell ref="I12:J12"/>
    <mergeCell ref="D14:E14"/>
    <mergeCell ref="D10:E10"/>
    <mergeCell ref="G10:H10"/>
    <mergeCell ref="O7:O8"/>
    <mergeCell ref="G9:H9"/>
    <mergeCell ref="G11:H11"/>
    <mergeCell ref="G13:H13"/>
    <mergeCell ref="F7:M7"/>
    <mergeCell ref="N7:N8"/>
    <mergeCell ref="I8:J8"/>
    <mergeCell ref="K8:L8"/>
    <mergeCell ref="I9:J9"/>
    <mergeCell ref="I11:J11"/>
    <mergeCell ref="I13:J13"/>
    <mergeCell ref="K9:L9"/>
    <mergeCell ref="K11:L11"/>
    <mergeCell ref="K13:L13"/>
    <mergeCell ref="I10:J10"/>
    <mergeCell ref="K10:L10"/>
    <mergeCell ref="D7:E8"/>
    <mergeCell ref="D9:E9"/>
    <mergeCell ref="D11:E11"/>
    <mergeCell ref="D12:E12"/>
    <mergeCell ref="D13:E13"/>
    <mergeCell ref="G14:H14"/>
    <mergeCell ref="G8:H8"/>
  </mergeCells>
  <dataValidations count="1">
    <dataValidation type="list" allowBlank="1" showInputMessage="1" showErrorMessage="1" sqref="K74 G74">
      <formula1>$S$73:$S$78</formula1>
    </dataValidation>
  </dataValidations>
  <hyperlinks>
    <hyperlink ref="R3" location="ข้อมูลพื้นฐาน!A1" display="Main Menu"/>
    <hyperlink ref="R5" location="'หมวด4-5.1'!A1" display="Next &gt;&gt; ตัวบ่งชี้ที่ 5.1"/>
    <hyperlink ref="R4" location="'หมวด3-3.2'!A1" display="&lt;&lt; Previois ตัวบ่งชี้ที่ 3.2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rowBreaks count="1" manualBreakCount="1">
    <brk id="71" max="16" man="1"/>
  </row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theme="9" tint="0.79998168889431442"/>
  </sheetPr>
  <dimension ref="A1:J31"/>
  <sheetViews>
    <sheetView showGridLines="0" zoomScale="115" zoomScaleNormal="115" zoomScaleSheetLayoutView="115" workbookViewId="0">
      <selection activeCell="B4" sqref="B4"/>
    </sheetView>
  </sheetViews>
  <sheetFormatPr defaultRowHeight="24" x14ac:dyDescent="0.55000000000000004"/>
  <cols>
    <col min="1" max="1" width="6" style="2" customWidth="1"/>
    <col min="2" max="2" width="9" style="2"/>
    <col min="3" max="3" width="17.75" style="2" customWidth="1"/>
    <col min="4" max="7" width="11.625" style="2" customWidth="1"/>
    <col min="8" max="8" width="20.875" style="2" bestFit="1" customWidth="1"/>
    <col min="9" max="9" width="9" style="6" hidden="1" customWidth="1"/>
    <col min="10" max="16384" width="9" style="2"/>
  </cols>
  <sheetData>
    <row r="1" spans="1:9" ht="30" x14ac:dyDescent="0.65">
      <c r="A1" s="656" t="s">
        <v>118</v>
      </c>
      <c r="B1" s="656"/>
      <c r="C1" s="656"/>
      <c r="D1" s="656"/>
      <c r="E1" s="656"/>
      <c r="F1" s="656"/>
      <c r="G1" s="656"/>
    </row>
    <row r="2" spans="1:9" x14ac:dyDescent="0.55000000000000004">
      <c r="A2" s="4" t="s">
        <v>119</v>
      </c>
    </row>
    <row r="3" spans="1:9" x14ac:dyDescent="0.55000000000000004">
      <c r="A3" s="89" t="s">
        <v>12</v>
      </c>
      <c r="B3" s="472" t="s">
        <v>23</v>
      </c>
      <c r="C3" s="472"/>
      <c r="D3" s="472"/>
      <c r="E3" s="472"/>
      <c r="F3" s="472"/>
      <c r="G3" s="472"/>
      <c r="H3" s="181" t="s">
        <v>346</v>
      </c>
    </row>
    <row r="4" spans="1:9" x14ac:dyDescent="0.55000000000000004">
      <c r="A4" s="38">
        <v>5.0999999999999996</v>
      </c>
      <c r="B4" s="39" t="s">
        <v>120</v>
      </c>
      <c r="C4" s="14"/>
      <c r="D4" s="14"/>
      <c r="E4" s="14"/>
      <c r="F4" s="14"/>
      <c r="G4" s="15"/>
      <c r="H4" s="182" t="s">
        <v>387</v>
      </c>
    </row>
    <row r="5" spans="1:9" x14ac:dyDescent="0.55000000000000004">
      <c r="A5" s="17"/>
      <c r="B5" s="40" t="s">
        <v>121</v>
      </c>
      <c r="C5" s="14"/>
      <c r="D5" s="14"/>
      <c r="E5" s="14"/>
      <c r="F5" s="14"/>
      <c r="G5" s="15"/>
      <c r="H5" s="183" t="s">
        <v>388</v>
      </c>
    </row>
    <row r="6" spans="1:9" x14ac:dyDescent="0.55000000000000004">
      <c r="A6" s="17"/>
      <c r="B6" s="40" t="s">
        <v>122</v>
      </c>
      <c r="C6" s="14"/>
      <c r="D6" s="14"/>
      <c r="E6" s="14"/>
      <c r="F6" s="14"/>
      <c r="G6" s="15"/>
    </row>
    <row r="7" spans="1:9" x14ac:dyDescent="0.55000000000000004">
      <c r="A7" s="17"/>
      <c r="B7" s="40"/>
      <c r="C7" s="14"/>
      <c r="D7" s="14"/>
      <c r="E7" s="14"/>
      <c r="F7" s="14"/>
      <c r="G7" s="15"/>
    </row>
    <row r="8" spans="1:9" x14ac:dyDescent="0.55000000000000004">
      <c r="A8" s="17"/>
      <c r="B8" s="13" t="s">
        <v>28</v>
      </c>
      <c r="C8" s="14"/>
      <c r="D8" s="14"/>
      <c r="E8" s="14"/>
      <c r="F8" s="14"/>
      <c r="G8" s="15"/>
    </row>
    <row r="9" spans="1:9" s="1" customFormat="1" x14ac:dyDescent="0.55000000000000004">
      <c r="A9" s="32"/>
      <c r="B9" s="470"/>
      <c r="C9" s="469"/>
      <c r="D9" s="469"/>
      <c r="E9" s="469"/>
      <c r="F9" s="469"/>
      <c r="G9" s="471"/>
      <c r="I9" s="3"/>
    </row>
    <row r="10" spans="1:9" s="1" customFormat="1" x14ac:dyDescent="0.55000000000000004">
      <c r="A10" s="32"/>
      <c r="B10" s="470"/>
      <c r="C10" s="469"/>
      <c r="D10" s="469"/>
      <c r="E10" s="469"/>
      <c r="F10" s="469"/>
      <c r="G10" s="471"/>
      <c r="I10" s="3"/>
    </row>
    <row r="11" spans="1:9" s="1" customFormat="1" x14ac:dyDescent="0.55000000000000004">
      <c r="A11" s="32"/>
      <c r="B11" s="470"/>
      <c r="C11" s="469"/>
      <c r="D11" s="469"/>
      <c r="E11" s="469"/>
      <c r="F11" s="469"/>
      <c r="G11" s="471"/>
      <c r="I11" s="3"/>
    </row>
    <row r="12" spans="1:9" s="1" customFormat="1" x14ac:dyDescent="0.55000000000000004">
      <c r="A12" s="32"/>
      <c r="B12" s="470"/>
      <c r="C12" s="469"/>
      <c r="D12" s="469"/>
      <c r="E12" s="469"/>
      <c r="F12" s="469"/>
      <c r="G12" s="471"/>
      <c r="I12" s="3"/>
    </row>
    <row r="13" spans="1:9" s="1" customFormat="1" x14ac:dyDescent="0.55000000000000004">
      <c r="A13" s="32"/>
      <c r="B13" s="470"/>
      <c r="C13" s="469"/>
      <c r="D13" s="469"/>
      <c r="E13" s="469"/>
      <c r="F13" s="469"/>
      <c r="G13" s="471"/>
      <c r="I13" s="3"/>
    </row>
    <row r="14" spans="1:9" s="1" customFormat="1" x14ac:dyDescent="0.55000000000000004">
      <c r="A14" s="32"/>
      <c r="B14" s="305" t="s">
        <v>73</v>
      </c>
      <c r="C14" s="31"/>
      <c r="D14" s="31"/>
      <c r="E14" s="31"/>
      <c r="F14" s="31"/>
      <c r="G14" s="301"/>
      <c r="I14" s="3"/>
    </row>
    <row r="15" spans="1:9" s="1" customFormat="1" x14ac:dyDescent="0.55000000000000004">
      <c r="A15" s="32"/>
      <c r="B15" s="470"/>
      <c r="C15" s="469"/>
      <c r="D15" s="469"/>
      <c r="E15" s="469"/>
      <c r="F15" s="469"/>
      <c r="G15" s="471"/>
      <c r="I15" s="3"/>
    </row>
    <row r="16" spans="1:9" s="1" customFormat="1" x14ac:dyDescent="0.55000000000000004">
      <c r="A16" s="32"/>
      <c r="B16" s="470"/>
      <c r="C16" s="469"/>
      <c r="D16" s="469"/>
      <c r="E16" s="469"/>
      <c r="F16" s="469"/>
      <c r="G16" s="471"/>
      <c r="I16" s="3"/>
    </row>
    <row r="17" spans="1:10" s="1" customFormat="1" x14ac:dyDescent="0.55000000000000004">
      <c r="A17" s="32"/>
      <c r="B17" s="470"/>
      <c r="C17" s="469"/>
      <c r="D17" s="469"/>
      <c r="E17" s="469"/>
      <c r="F17" s="469"/>
      <c r="G17" s="471"/>
      <c r="I17" s="3"/>
    </row>
    <row r="18" spans="1:10" s="1" customFormat="1" x14ac:dyDescent="0.55000000000000004">
      <c r="A18" s="32"/>
      <c r="B18" s="470"/>
      <c r="C18" s="469"/>
      <c r="D18" s="469"/>
      <c r="E18" s="469"/>
      <c r="F18" s="469"/>
      <c r="G18" s="471"/>
      <c r="I18" s="3"/>
    </row>
    <row r="19" spans="1:10" s="1" customFormat="1" x14ac:dyDescent="0.55000000000000004">
      <c r="A19" s="32"/>
      <c r="B19" s="305" t="s">
        <v>125</v>
      </c>
      <c r="C19" s="31"/>
      <c r="D19" s="31"/>
      <c r="E19" s="31"/>
      <c r="F19" s="31"/>
      <c r="G19" s="301"/>
      <c r="I19" s="3"/>
    </row>
    <row r="20" spans="1:10" s="1" customFormat="1" x14ac:dyDescent="0.55000000000000004">
      <c r="A20" s="32"/>
      <c r="B20" s="470"/>
      <c r="C20" s="469"/>
      <c r="D20" s="469"/>
      <c r="E20" s="469"/>
      <c r="F20" s="469"/>
      <c r="G20" s="471"/>
      <c r="I20" s="3"/>
    </row>
    <row r="21" spans="1:10" s="1" customFormat="1" x14ac:dyDescent="0.55000000000000004">
      <c r="A21" s="32"/>
      <c r="B21" s="470"/>
      <c r="C21" s="469"/>
      <c r="D21" s="469"/>
      <c r="E21" s="469"/>
      <c r="F21" s="469"/>
      <c r="G21" s="471"/>
      <c r="I21" s="3"/>
    </row>
    <row r="22" spans="1:10" s="1" customFormat="1" x14ac:dyDescent="0.55000000000000004">
      <c r="A22" s="34"/>
      <c r="B22" s="473"/>
      <c r="C22" s="474"/>
      <c r="D22" s="474"/>
      <c r="E22" s="474"/>
      <c r="F22" s="474"/>
      <c r="G22" s="475"/>
      <c r="I22" s="3"/>
    </row>
    <row r="23" spans="1:10" x14ac:dyDescent="0.55000000000000004">
      <c r="A23" s="115" t="s">
        <v>11</v>
      </c>
      <c r="B23" s="51"/>
      <c r="C23" s="51"/>
      <c r="D23" s="51"/>
      <c r="E23" s="51"/>
      <c r="F23" s="51"/>
      <c r="G23" s="51"/>
    </row>
    <row r="24" spans="1:10" ht="43.5" x14ac:dyDescent="0.55000000000000004">
      <c r="A24" s="476" t="s">
        <v>12</v>
      </c>
      <c r="B24" s="476"/>
      <c r="C24" s="476"/>
      <c r="D24" s="121" t="s">
        <v>13</v>
      </c>
      <c r="E24" s="121" t="s">
        <v>14</v>
      </c>
      <c r="F24" s="121" t="s">
        <v>403</v>
      </c>
      <c r="G24" s="121" t="s">
        <v>16</v>
      </c>
      <c r="I24" s="6">
        <v>0</v>
      </c>
    </row>
    <row r="25" spans="1:10" ht="42.75" customHeight="1" x14ac:dyDescent="0.55000000000000004">
      <c r="A25" s="477" t="s">
        <v>123</v>
      </c>
      <c r="B25" s="477"/>
      <c r="C25" s="477"/>
      <c r="D25" s="228">
        <v>4</v>
      </c>
      <c r="E25" s="228">
        <v>3</v>
      </c>
      <c r="F25" s="41">
        <f>E25</f>
        <v>3</v>
      </c>
      <c r="G25" s="88" t="str">
        <f>IF(E25&gt;=D25,"บรรลุ","ไม่บรรลุ")</f>
        <v>ไม่บรรลุ</v>
      </c>
      <c r="I25" s="141">
        <v>1</v>
      </c>
      <c r="J25" s="5"/>
    </row>
    <row r="26" spans="1:10" s="1" customFormat="1" x14ac:dyDescent="0.55000000000000004">
      <c r="A26" s="294"/>
      <c r="B26" s="294"/>
      <c r="C26" s="294"/>
      <c r="D26" s="294"/>
      <c r="E26" s="294"/>
      <c r="F26" s="294"/>
      <c r="G26" s="294"/>
      <c r="I26" s="3">
        <v>2</v>
      </c>
      <c r="J26" s="160"/>
    </row>
    <row r="27" spans="1:10" s="1" customFormat="1" x14ac:dyDescent="0.55000000000000004">
      <c r="A27" s="294"/>
      <c r="B27" s="294"/>
      <c r="C27" s="294"/>
      <c r="D27" s="420"/>
      <c r="E27" s="294"/>
      <c r="F27" s="294"/>
      <c r="G27" s="294"/>
      <c r="I27" s="424">
        <v>3</v>
      </c>
      <c r="J27" s="160"/>
    </row>
    <row r="28" spans="1:10" s="1" customFormat="1" x14ac:dyDescent="0.55000000000000004">
      <c r="A28" s="294"/>
      <c r="B28" s="294"/>
      <c r="C28" s="294"/>
      <c r="D28" s="294"/>
      <c r="E28" s="294"/>
      <c r="F28" s="294"/>
      <c r="G28" s="294"/>
      <c r="I28" s="3">
        <v>4</v>
      </c>
      <c r="J28" s="160"/>
    </row>
    <row r="29" spans="1:10" x14ac:dyDescent="0.55000000000000004">
      <c r="A29" s="51"/>
      <c r="B29" s="51"/>
      <c r="C29" s="51"/>
      <c r="D29" s="51"/>
      <c r="E29" s="51"/>
      <c r="F29" s="51"/>
      <c r="G29" s="51"/>
      <c r="I29" s="141">
        <v>5</v>
      </c>
      <c r="J29" s="5"/>
    </row>
    <row r="30" spans="1:10" x14ac:dyDescent="0.55000000000000004">
      <c r="A30" s="51"/>
      <c r="B30" s="51"/>
      <c r="C30" s="51"/>
      <c r="D30" s="51"/>
      <c r="E30" s="51"/>
      <c r="F30" s="51"/>
      <c r="G30" s="51"/>
    </row>
    <row r="31" spans="1:10" x14ac:dyDescent="0.55000000000000004">
      <c r="A31" s="51"/>
      <c r="B31" s="51"/>
      <c r="C31" s="51"/>
      <c r="D31" s="51"/>
      <c r="E31" s="51"/>
      <c r="F31" s="51"/>
      <c r="G31" s="51"/>
    </row>
  </sheetData>
  <sheetProtection sheet="1" objects="1" scenarios="1" formatCells="0" formatRows="0" insertRows="0" deleteRows="0"/>
  <mergeCells count="16">
    <mergeCell ref="B22:G22"/>
    <mergeCell ref="A24:C24"/>
    <mergeCell ref="A25:C25"/>
    <mergeCell ref="A1:G1"/>
    <mergeCell ref="B15:G15"/>
    <mergeCell ref="B16:G16"/>
    <mergeCell ref="B17:G17"/>
    <mergeCell ref="B18:G18"/>
    <mergeCell ref="B20:G20"/>
    <mergeCell ref="B21:G21"/>
    <mergeCell ref="B3:G3"/>
    <mergeCell ref="B9:G9"/>
    <mergeCell ref="B10:G10"/>
    <mergeCell ref="B11:G11"/>
    <mergeCell ref="B12:G12"/>
    <mergeCell ref="B13:G13"/>
  </mergeCells>
  <dataValidations count="1">
    <dataValidation type="list" allowBlank="1" showInputMessage="1" showErrorMessage="1" sqref="D25:E25">
      <formula1>$I$24:$I$29</formula1>
    </dataValidation>
  </dataValidations>
  <hyperlinks>
    <hyperlink ref="H3" location="ข้อมูลพื้นฐาน!A1" display="Main Menu"/>
    <hyperlink ref="H5" location="'หมวด4-5.2'!A1" display="Next &gt;&gt; ตัวบ่งชี้ที่ 5.2"/>
    <hyperlink ref="H4" location="'หมวด3-3.3'!A1" display="&lt;&lt; Previois ตัวบ่งชี้ที่ 3.3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P27"/>
  <sheetViews>
    <sheetView showGridLines="0" topLeftCell="A13" zoomScale="115" zoomScaleNormal="115" zoomScaleSheetLayoutView="100" workbookViewId="0">
      <selection activeCell="D17" sqref="D17"/>
    </sheetView>
  </sheetViews>
  <sheetFormatPr defaultRowHeight="24" x14ac:dyDescent="0.55000000000000004"/>
  <cols>
    <col min="1" max="3" width="9" style="2"/>
    <col min="4" max="4" width="24.625" style="2" customWidth="1"/>
    <col min="5" max="5" width="6.875" style="2" customWidth="1"/>
    <col min="6" max="6" width="10.875" style="2" customWidth="1"/>
    <col min="7" max="7" width="6.875" style="2" customWidth="1"/>
    <col min="8" max="8" width="7.25" style="2" customWidth="1"/>
    <col min="9" max="10" width="9" style="2"/>
    <col min="11" max="38" width="2.75" style="2" hidden="1" customWidth="1"/>
    <col min="39" max="39" width="26.625" style="2" hidden="1" customWidth="1"/>
    <col min="40" max="40" width="23.875" style="2" hidden="1" customWidth="1"/>
    <col min="41" max="41" width="30.25" style="2" hidden="1" customWidth="1"/>
    <col min="42" max="42" width="27.75" style="2" hidden="1" customWidth="1"/>
    <col min="43" max="43" width="22.75" style="2" customWidth="1"/>
    <col min="44" max="16384" width="9" style="2"/>
  </cols>
  <sheetData>
    <row r="2" spans="1:9" x14ac:dyDescent="0.55000000000000004">
      <c r="H2" s="269" t="s">
        <v>427</v>
      </c>
    </row>
    <row r="8" spans="1:9" ht="43.5" customHeight="1" x14ac:dyDescent="0.55000000000000004"/>
    <row r="9" spans="1:9" ht="44.25" x14ac:dyDescent="0.55000000000000004">
      <c r="A9" s="444" t="s">
        <v>250</v>
      </c>
      <c r="B9" s="444"/>
      <c r="C9" s="444"/>
      <c r="D9" s="444"/>
      <c r="E9" s="444"/>
      <c r="F9" s="444"/>
      <c r="G9" s="444"/>
      <c r="H9" s="7"/>
      <c r="I9" s="7"/>
    </row>
    <row r="10" spans="1:9" ht="44.25" x14ac:dyDescent="0.55000000000000004">
      <c r="A10" s="444" t="str">
        <f>"ปีการศึกษา "&amp;ปีประเมิน</f>
        <v>ปีการศึกษา 2563</v>
      </c>
      <c r="B10" s="444"/>
      <c r="C10" s="444"/>
      <c r="D10" s="444"/>
      <c r="E10" s="444"/>
      <c r="F10" s="444"/>
      <c r="G10" s="444"/>
      <c r="H10" s="7"/>
      <c r="I10" s="7"/>
    </row>
    <row r="11" spans="1:9" ht="44.25" x14ac:dyDescent="0.55000000000000004">
      <c r="A11" s="189"/>
      <c r="B11" s="189"/>
      <c r="C11" s="189"/>
      <c r="D11" s="189"/>
      <c r="E11" s="189"/>
      <c r="F11" s="189"/>
      <c r="G11" s="189"/>
      <c r="H11" s="189"/>
      <c r="I11" s="7"/>
    </row>
    <row r="12" spans="1:9" ht="44.25" x14ac:dyDescent="0.55000000000000004">
      <c r="A12" s="86"/>
      <c r="B12" s="86"/>
      <c r="C12" s="86"/>
      <c r="D12" s="86"/>
      <c r="E12" s="86"/>
      <c r="F12" s="86"/>
      <c r="G12" s="86"/>
      <c r="H12" s="86"/>
      <c r="I12" s="86"/>
    </row>
    <row r="13" spans="1:9" ht="44.25" x14ac:dyDescent="0.55000000000000004">
      <c r="A13" s="86"/>
      <c r="B13" s="86"/>
      <c r="C13" s="86"/>
      <c r="D13" s="86"/>
      <c r="E13" s="86"/>
      <c r="F13" s="86"/>
      <c r="G13" s="86"/>
      <c r="H13" s="86"/>
      <c r="I13" s="86"/>
    </row>
    <row r="14" spans="1:9" ht="36.75" x14ac:dyDescent="0.55000000000000004">
      <c r="A14" s="445" t="str">
        <f>ชื่อปริญญา &amp;" ระดับ "&amp;ระดับ</f>
        <v>วิทยาศาสตรบัณฑิต ระดับ ปริญญาตรี (2558)</v>
      </c>
      <c r="B14" s="445"/>
      <c r="C14" s="445"/>
      <c r="D14" s="445"/>
      <c r="E14" s="445"/>
      <c r="F14" s="445"/>
      <c r="G14" s="445"/>
      <c r="H14" s="8"/>
      <c r="I14" s="8"/>
    </row>
    <row r="15" spans="1:9" ht="36.75" x14ac:dyDescent="0.55000000000000004">
      <c r="A15" s="445" t="str">
        <f>"สาขาวิชา "&amp;ชื่อหลักสูตร</f>
        <v>สาขาวิชา อิเล็กทรอนิกส์สื่อสาร</v>
      </c>
      <c r="B15" s="445"/>
      <c r="C15" s="445"/>
      <c r="D15" s="445"/>
      <c r="E15" s="445"/>
      <c r="F15" s="445"/>
      <c r="G15" s="445"/>
      <c r="H15" s="8"/>
      <c r="I15" s="8"/>
    </row>
    <row r="16" spans="1:9" ht="36.75" x14ac:dyDescent="0.55000000000000004">
      <c r="A16" s="87"/>
      <c r="B16" s="87"/>
      <c r="C16" s="87"/>
      <c r="D16" s="87" t="str">
        <f>ข้อมูลพื้นฐาน!E9&amp;" พ.ศ."&amp;ปีหลักสูตร</f>
        <v>หลักสูตรปรับปรุง พ.ศ.2560</v>
      </c>
      <c r="E16" s="87"/>
      <c r="F16" s="87"/>
      <c r="G16" s="87"/>
      <c r="H16" s="87"/>
      <c r="I16" s="87"/>
    </row>
    <row r="17" spans="1:41" ht="36.75" x14ac:dyDescent="0.55000000000000004">
      <c r="A17" s="87"/>
      <c r="B17" s="87"/>
      <c r="C17" s="87"/>
      <c r="D17" s="87"/>
      <c r="E17" s="87"/>
      <c r="F17" s="87"/>
      <c r="G17" s="87"/>
      <c r="H17" s="87"/>
      <c r="I17" s="87"/>
    </row>
    <row r="18" spans="1:41" ht="36.75" x14ac:dyDescent="0.55000000000000004">
      <c r="A18" s="87"/>
      <c r="B18" s="87"/>
      <c r="C18" s="87"/>
      <c r="D18" s="87"/>
      <c r="E18" s="87"/>
      <c r="F18" s="87"/>
      <c r="G18" s="87"/>
      <c r="H18" s="87"/>
      <c r="I18" s="87"/>
    </row>
    <row r="19" spans="1:41" ht="36.75" x14ac:dyDescent="0.55000000000000004">
      <c r="A19" s="445" t="str">
        <f>"คณะ"&amp;คณะ</f>
        <v>คณะเทคโนโลยีอุตสาหกรรม</v>
      </c>
      <c r="B19" s="445"/>
      <c r="C19" s="445"/>
      <c r="D19" s="445"/>
      <c r="E19" s="445"/>
      <c r="F19" s="445"/>
      <c r="G19" s="445"/>
      <c r="H19" s="8"/>
      <c r="I19" s="8"/>
    </row>
    <row r="20" spans="1:41" ht="36.75" x14ac:dyDescent="0.55000000000000004">
      <c r="A20" s="443" t="str">
        <f>มหาวิทยาลัย</f>
        <v>มหาวิทยาลัยราชภัฏบุรีรัมย์</v>
      </c>
      <c r="B20" s="443"/>
      <c r="C20" s="443"/>
      <c r="D20" s="443"/>
      <c r="E20" s="443"/>
      <c r="F20" s="443"/>
      <c r="G20" s="443"/>
      <c r="H20" s="9"/>
      <c r="I20" s="9"/>
    </row>
    <row r="21" spans="1:41" ht="36.75" x14ac:dyDescent="0.55000000000000004">
      <c r="A21" s="443" t="str">
        <f>"ประจำปีการศึกษา "&amp;ปีประเมิน</f>
        <v>ประจำปีการศึกษา 2563</v>
      </c>
      <c r="B21" s="443"/>
      <c r="C21" s="443"/>
      <c r="D21" s="443"/>
      <c r="E21" s="443"/>
      <c r="F21" s="443"/>
      <c r="G21" s="443"/>
      <c r="H21" s="9"/>
      <c r="I21" s="9"/>
    </row>
    <row r="22" spans="1:41" ht="41.25" x14ac:dyDescent="0.55000000000000004">
      <c r="A22" s="10"/>
    </row>
    <row r="23" spans="1:41" ht="41.25" x14ac:dyDescent="0.55000000000000004">
      <c r="A23" s="10"/>
    </row>
    <row r="24" spans="1:41" ht="41.25" x14ac:dyDescent="0.55000000000000004">
      <c r="A24" s="10"/>
    </row>
    <row r="25" spans="1:41" ht="41.25" x14ac:dyDescent="0.65">
      <c r="A25" s="10"/>
      <c r="D25" s="167" t="s">
        <v>251</v>
      </c>
      <c r="E25" s="99">
        <v>3</v>
      </c>
      <c r="F25" s="100" t="s">
        <v>258</v>
      </c>
      <c r="G25" s="101">
        <v>2561</v>
      </c>
      <c r="I25" s="11"/>
      <c r="K25" s="2">
        <v>1</v>
      </c>
      <c r="L25" s="2">
        <v>2</v>
      </c>
      <c r="M25" s="2">
        <v>3</v>
      </c>
      <c r="N25" s="2">
        <v>4</v>
      </c>
      <c r="O25" s="2">
        <v>5</v>
      </c>
      <c r="P25" s="2">
        <v>6</v>
      </c>
      <c r="Q25" s="2">
        <v>7</v>
      </c>
      <c r="R25" s="2">
        <v>8</v>
      </c>
      <c r="S25" s="2">
        <v>9</v>
      </c>
      <c r="T25" s="2">
        <v>10</v>
      </c>
      <c r="U25" s="2">
        <v>11</v>
      </c>
      <c r="V25" s="2">
        <v>12</v>
      </c>
      <c r="W25" s="2">
        <v>13</v>
      </c>
      <c r="X25" s="2">
        <v>14</v>
      </c>
      <c r="Y25" s="2">
        <v>15</v>
      </c>
      <c r="Z25" s="2">
        <v>16</v>
      </c>
      <c r="AA25" s="2">
        <v>17</v>
      </c>
      <c r="AB25" s="2">
        <v>18</v>
      </c>
      <c r="AC25" s="2">
        <v>19</v>
      </c>
      <c r="AD25" s="2">
        <v>20</v>
      </c>
      <c r="AE25" s="2">
        <v>21</v>
      </c>
      <c r="AF25" s="2">
        <v>22</v>
      </c>
      <c r="AG25" s="2">
        <v>23</v>
      </c>
      <c r="AH25" s="2">
        <v>24</v>
      </c>
      <c r="AI25" s="2">
        <v>25</v>
      </c>
      <c r="AJ25" s="2">
        <v>26</v>
      </c>
      <c r="AK25" s="2">
        <v>27</v>
      </c>
      <c r="AL25" s="2">
        <v>28</v>
      </c>
      <c r="AM25" s="2">
        <v>29</v>
      </c>
      <c r="AN25" s="2">
        <v>30</v>
      </c>
      <c r="AO25" s="2">
        <v>31</v>
      </c>
    </row>
    <row r="26" spans="1:41" ht="41.25" x14ac:dyDescent="0.55000000000000004">
      <c r="A26" s="10"/>
      <c r="K26" s="2" t="s">
        <v>252</v>
      </c>
      <c r="L26" s="2" t="s">
        <v>253</v>
      </c>
      <c r="M26" s="2" t="s">
        <v>254</v>
      </c>
      <c r="N26" s="2" t="s">
        <v>255</v>
      </c>
      <c r="O26" s="2" t="s">
        <v>256</v>
      </c>
      <c r="P26" s="2" t="s">
        <v>257</v>
      </c>
      <c r="Q26" s="2" t="s">
        <v>258</v>
      </c>
      <c r="R26" s="2" t="s">
        <v>259</v>
      </c>
      <c r="S26" s="2" t="s">
        <v>260</v>
      </c>
      <c r="T26" s="2" t="s">
        <v>261</v>
      </c>
      <c r="U26" s="2" t="s">
        <v>262</v>
      </c>
      <c r="V26" s="2" t="s">
        <v>263</v>
      </c>
    </row>
    <row r="27" spans="1:41" x14ac:dyDescent="0.55000000000000004">
      <c r="K27" s="2">
        <v>2561</v>
      </c>
      <c r="L27" s="2">
        <v>2562</v>
      </c>
      <c r="M27" s="2">
        <v>2563</v>
      </c>
      <c r="N27" s="2">
        <v>2564</v>
      </c>
      <c r="O27" s="2">
        <v>2565</v>
      </c>
    </row>
  </sheetData>
  <mergeCells count="7">
    <mergeCell ref="A20:G20"/>
    <mergeCell ref="A21:G21"/>
    <mergeCell ref="A9:G9"/>
    <mergeCell ref="A10:G10"/>
    <mergeCell ref="A14:G14"/>
    <mergeCell ref="A15:G15"/>
    <mergeCell ref="A19:G19"/>
  </mergeCells>
  <dataValidations count="3">
    <dataValidation type="list" allowBlank="1" showInputMessage="1" showErrorMessage="1" sqref="E25">
      <formula1>$K$25:$AO$25</formula1>
    </dataValidation>
    <dataValidation type="list" allowBlank="1" showInputMessage="1" showErrorMessage="1" sqref="F25">
      <formula1>$K$26:$W$26</formula1>
    </dataValidation>
    <dataValidation type="list" allowBlank="1" showInputMessage="1" showErrorMessage="1" sqref="G25">
      <formula1>$K$27:$O$27</formula1>
    </dataValidation>
  </dataValidations>
  <printOptions horizontalCentered="1" verticalCentered="1"/>
  <pageMargins left="1.1023622047244095" right="0.70866141732283472" top="0.74803149606299213" bottom="0.74803149606299213" header="0.31496062992125984" footer="0.31496062992125984"/>
  <pageSetup paperSize="9" orientation="portrait" blackAndWhite="1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theme="9" tint="0.79998168889431442"/>
  </sheetPr>
  <dimension ref="A1:Q33"/>
  <sheetViews>
    <sheetView showGridLines="0" zoomScale="115" zoomScaleNormal="115" zoomScaleSheetLayoutView="115" workbookViewId="0">
      <selection activeCell="B4" sqref="B4:G4"/>
    </sheetView>
  </sheetViews>
  <sheetFormatPr defaultRowHeight="24" x14ac:dyDescent="0.55000000000000004"/>
  <cols>
    <col min="1" max="1" width="6" style="2" customWidth="1"/>
    <col min="2" max="2" width="9" style="2"/>
    <col min="3" max="3" width="17.75" style="2" customWidth="1"/>
    <col min="4" max="7" width="11.875" style="2" customWidth="1"/>
    <col min="8" max="8" width="48" style="2" customWidth="1"/>
    <col min="9" max="9" width="9" style="6" hidden="1" customWidth="1"/>
    <col min="10" max="10" width="15.5" style="16" hidden="1" customWidth="1"/>
    <col min="11" max="11" width="37.125" style="16" hidden="1" customWidth="1"/>
    <col min="12" max="12" width="38.375" style="16" customWidth="1"/>
    <col min="13" max="17" width="9" style="16"/>
    <col min="18" max="16384" width="9" style="2"/>
  </cols>
  <sheetData>
    <row r="1" spans="1:17" x14ac:dyDescent="0.55000000000000004">
      <c r="A1" s="4" t="s">
        <v>119</v>
      </c>
    </row>
    <row r="2" spans="1:17" x14ac:dyDescent="0.55000000000000004">
      <c r="A2" s="89" t="s">
        <v>12</v>
      </c>
      <c r="B2" s="472" t="s">
        <v>23</v>
      </c>
      <c r="C2" s="472"/>
      <c r="D2" s="472"/>
      <c r="E2" s="472"/>
      <c r="F2" s="472"/>
      <c r="G2" s="472"/>
    </row>
    <row r="3" spans="1:17" x14ac:dyDescent="0.55000000000000004">
      <c r="A3" s="38">
        <v>5.2</v>
      </c>
      <c r="B3" s="13" t="s">
        <v>126</v>
      </c>
      <c r="C3" s="14"/>
      <c r="D3" s="14"/>
      <c r="E3" s="14"/>
      <c r="F3" s="14"/>
      <c r="G3" s="15"/>
      <c r="H3" s="181" t="s">
        <v>346</v>
      </c>
    </row>
    <row r="4" spans="1:17" x14ac:dyDescent="0.55000000000000004">
      <c r="A4" s="17"/>
      <c r="B4" s="524" t="str">
        <f>IF(OR(เกณฑ์=1,เกณฑ์=2),J4,K4)</f>
        <v xml:space="preserve"> - การกำหนดผู้สอน</v>
      </c>
      <c r="C4" s="525"/>
      <c r="D4" s="525"/>
      <c r="E4" s="525"/>
      <c r="F4" s="525"/>
      <c r="G4" s="526"/>
      <c r="H4" s="182" t="s">
        <v>389</v>
      </c>
      <c r="J4" s="26" t="s">
        <v>180</v>
      </c>
      <c r="K4" s="26" t="s">
        <v>180</v>
      </c>
      <c r="L4" s="14"/>
      <c r="M4" s="14"/>
      <c r="N4" s="14"/>
      <c r="O4" s="14"/>
    </row>
    <row r="5" spans="1:17" x14ac:dyDescent="0.55000000000000004">
      <c r="A5" s="17"/>
      <c r="B5" s="524" t="str">
        <f>IF(OR(เกณฑ์=1,เกณฑ์=2),J5,K5)</f>
        <v xml:space="preserve"> - การกำกับ ติดตาม และตรวจสอบการจัดทำแผนการเรียนรู้ (มคอ.3 และ มคอ.4) และการจัดการเรียนการสอน</v>
      </c>
      <c r="C5" s="525" t="str">
        <f t="shared" ref="C5:G8" si="0">IF(OR(เกณฑ์=1,เกณฑ์=2),K5,L5)</f>
        <v xml:space="preserve"> - การกำกับ ติดตาม และตรวจสอบการจัดทำแผนการเรียนรู้ (มคอ.3 และ มคอ.4) และการจัดการเรียนการสอน</v>
      </c>
      <c r="D5" s="525">
        <f t="shared" si="0"/>
        <v>0</v>
      </c>
      <c r="E5" s="525">
        <f t="shared" si="0"/>
        <v>0</v>
      </c>
      <c r="F5" s="525">
        <f t="shared" si="0"/>
        <v>0</v>
      </c>
      <c r="G5" s="526">
        <f t="shared" si="0"/>
        <v>0</v>
      </c>
      <c r="H5" s="183" t="s">
        <v>390</v>
      </c>
      <c r="J5" s="26" t="s">
        <v>181</v>
      </c>
      <c r="K5" s="26" t="s">
        <v>181</v>
      </c>
      <c r="L5" s="14"/>
      <c r="M5" s="14"/>
      <c r="N5" s="14"/>
      <c r="O5" s="14"/>
    </row>
    <row r="6" spans="1:17" ht="43.5" customHeight="1" x14ac:dyDescent="0.55000000000000004">
      <c r="A6" s="17"/>
      <c r="B6" s="524" t="str">
        <f>IF(OR(เกณฑ์=1,เกณฑ์=2),J6,K6)</f>
        <v xml:space="preserve"> - การจัดการเรียนการสอนในระดับปริญญาตรีที่มีการบูรณาการกับการวิจัย การบริการวิชาการทางสังคม และการทำนุบำรุงศิลปะและวัฒนธรรม</v>
      </c>
      <c r="C6" s="525" t="str">
        <f t="shared" si="0"/>
        <v xml:space="preserve"> - การควบคุมห้วข้อวิทยานิพนธ์และการค้นคว้าอิสระในระดับบัณฑิตศึกษาให้สอดคล้องกับสาขาวิชาและความก้าวหน้าของศาสตร์</v>
      </c>
      <c r="D6" s="525">
        <f t="shared" si="0"/>
        <v>0</v>
      </c>
      <c r="E6" s="525">
        <f t="shared" si="0"/>
        <v>0</v>
      </c>
      <c r="F6" s="525">
        <f t="shared" si="0"/>
        <v>0</v>
      </c>
      <c r="G6" s="526">
        <f t="shared" si="0"/>
        <v>0</v>
      </c>
      <c r="J6" s="161" t="s">
        <v>182</v>
      </c>
      <c r="K6" s="75" t="s">
        <v>183</v>
      </c>
      <c r="L6" s="161"/>
      <c r="M6" s="161"/>
      <c r="N6" s="161"/>
      <c r="O6" s="161"/>
    </row>
    <row r="7" spans="1:17" ht="43.5" customHeight="1" x14ac:dyDescent="0.55000000000000004">
      <c r="A7" s="17"/>
      <c r="B7" s="524" t="str">
        <f>IF(OR(เกณฑ์=1,เกณฑ์=2),J7,K7)</f>
        <v xml:space="preserve"> </v>
      </c>
      <c r="C7" s="525" t="str">
        <f t="shared" si="0"/>
        <v xml:space="preserve"> - การแต่งตั้งอาจารย์ที่ปรึกษาวิทยานิพนธ์และการค้นคว้าอิสระในระดับบัณฑิตศึกษาที่มีความเชี่ยวชาญสอดคล้องหรือสัมพันธ์กับหัวข้อวิทยานิพนธ์</v>
      </c>
      <c r="D7" s="525">
        <f t="shared" si="0"/>
        <v>0</v>
      </c>
      <c r="E7" s="525">
        <f t="shared" si="0"/>
        <v>0</v>
      </c>
      <c r="F7" s="525">
        <f t="shared" si="0"/>
        <v>0</v>
      </c>
      <c r="G7" s="526">
        <f t="shared" si="0"/>
        <v>0</v>
      </c>
      <c r="J7" s="75" t="s">
        <v>176</v>
      </c>
      <c r="K7" s="75" t="s">
        <v>184</v>
      </c>
      <c r="L7" s="161"/>
      <c r="M7" s="161"/>
      <c r="N7" s="161"/>
      <c r="O7" s="161"/>
    </row>
    <row r="8" spans="1:17" x14ac:dyDescent="0.55000000000000004">
      <c r="A8" s="17"/>
      <c r="B8" s="524" t="str">
        <f>IF(OR(เกณฑ์=1,เกณฑ์=2),J8,K8)</f>
        <v xml:space="preserve"> </v>
      </c>
      <c r="C8" s="525" t="str">
        <f t="shared" si="0"/>
        <v xml:space="preserve"> - การช่วยเหลือ กำกับ ติดตามในการทำวิทยานิพนธ์และการค้นคว้าอิสระ และการตีพิมพ์ผลงานในระดับบัณฑิตศึกษา</v>
      </c>
      <c r="D8" s="525">
        <f t="shared" si="0"/>
        <v>0</v>
      </c>
      <c r="E8" s="525">
        <f t="shared" si="0"/>
        <v>0</v>
      </c>
      <c r="F8" s="525">
        <f t="shared" si="0"/>
        <v>0</v>
      </c>
      <c r="G8" s="526">
        <f t="shared" si="0"/>
        <v>0</v>
      </c>
      <c r="J8" s="75" t="s">
        <v>176</v>
      </c>
      <c r="K8" s="75" t="s">
        <v>185</v>
      </c>
      <c r="L8" s="161"/>
      <c r="M8" s="161"/>
      <c r="N8" s="161"/>
      <c r="O8" s="161"/>
    </row>
    <row r="9" spans="1:17" x14ac:dyDescent="0.55000000000000004">
      <c r="A9" s="17"/>
      <c r="B9" s="657"/>
      <c r="C9" s="658"/>
      <c r="D9" s="658"/>
      <c r="E9" s="658"/>
      <c r="F9" s="658"/>
      <c r="G9" s="659"/>
      <c r="J9" s="75"/>
      <c r="K9" s="75"/>
      <c r="L9" s="161"/>
      <c r="M9" s="161"/>
      <c r="N9" s="161"/>
      <c r="O9" s="161"/>
    </row>
    <row r="10" spans="1:17" x14ac:dyDescent="0.55000000000000004">
      <c r="A10" s="17"/>
      <c r="B10" s="13" t="s">
        <v>28</v>
      </c>
      <c r="C10" s="14"/>
      <c r="D10" s="14"/>
      <c r="E10" s="14"/>
      <c r="F10" s="14"/>
      <c r="G10" s="15"/>
    </row>
    <row r="11" spans="1:17" s="1" customFormat="1" x14ac:dyDescent="0.55000000000000004">
      <c r="A11" s="32"/>
      <c r="B11" s="470"/>
      <c r="C11" s="469"/>
      <c r="D11" s="469"/>
      <c r="E11" s="469"/>
      <c r="F11" s="469"/>
      <c r="G11" s="471"/>
      <c r="I11" s="3"/>
      <c r="J11" s="128"/>
      <c r="K11" s="128"/>
      <c r="L11" s="128"/>
      <c r="M11" s="128"/>
      <c r="N11" s="128"/>
      <c r="O11" s="128"/>
      <c r="P11" s="128"/>
      <c r="Q11" s="128"/>
    </row>
    <row r="12" spans="1:17" s="1" customFormat="1" x14ac:dyDescent="0.55000000000000004">
      <c r="A12" s="32"/>
      <c r="B12" s="470"/>
      <c r="C12" s="469"/>
      <c r="D12" s="469"/>
      <c r="E12" s="469"/>
      <c r="F12" s="469"/>
      <c r="G12" s="471"/>
      <c r="I12" s="3"/>
      <c r="J12" s="128"/>
      <c r="K12" s="128"/>
      <c r="L12" s="128"/>
      <c r="M12" s="128"/>
      <c r="N12" s="128"/>
      <c r="O12" s="128"/>
      <c r="P12" s="128"/>
      <c r="Q12" s="128"/>
    </row>
    <row r="13" spans="1:17" s="1" customFormat="1" x14ac:dyDescent="0.55000000000000004">
      <c r="A13" s="32"/>
      <c r="B13" s="470"/>
      <c r="C13" s="469"/>
      <c r="D13" s="469"/>
      <c r="E13" s="469"/>
      <c r="F13" s="469"/>
      <c r="G13" s="471"/>
      <c r="I13" s="3"/>
      <c r="J13" s="128"/>
      <c r="K13" s="128"/>
      <c r="L13" s="128"/>
      <c r="M13" s="128"/>
      <c r="N13" s="128"/>
      <c r="O13" s="128"/>
      <c r="P13" s="128"/>
      <c r="Q13" s="128"/>
    </row>
    <row r="14" spans="1:17" s="1" customFormat="1" x14ac:dyDescent="0.55000000000000004">
      <c r="A14" s="32"/>
      <c r="B14" s="470"/>
      <c r="C14" s="469"/>
      <c r="D14" s="469"/>
      <c r="E14" s="469"/>
      <c r="F14" s="469"/>
      <c r="G14" s="471"/>
      <c r="I14" s="3"/>
      <c r="J14" s="128"/>
      <c r="K14" s="128"/>
      <c r="L14" s="128"/>
      <c r="M14" s="128"/>
      <c r="N14" s="128"/>
      <c r="O14" s="128"/>
      <c r="P14" s="128"/>
      <c r="Q14" s="128"/>
    </row>
    <row r="15" spans="1:17" s="1" customFormat="1" x14ac:dyDescent="0.55000000000000004">
      <c r="A15" s="32"/>
      <c r="B15" s="470"/>
      <c r="C15" s="469"/>
      <c r="D15" s="469"/>
      <c r="E15" s="469"/>
      <c r="F15" s="469"/>
      <c r="G15" s="471"/>
      <c r="I15" s="3"/>
      <c r="J15" s="128"/>
      <c r="K15" s="128"/>
      <c r="L15" s="128"/>
      <c r="M15" s="128"/>
      <c r="N15" s="128"/>
      <c r="O15" s="128"/>
      <c r="P15" s="128"/>
      <c r="Q15" s="128"/>
    </row>
    <row r="16" spans="1:17" s="1" customFormat="1" x14ac:dyDescent="0.55000000000000004">
      <c r="A16" s="32"/>
      <c r="B16" s="305" t="s">
        <v>73</v>
      </c>
      <c r="C16" s="31"/>
      <c r="D16" s="31"/>
      <c r="E16" s="31"/>
      <c r="F16" s="31"/>
      <c r="G16" s="301"/>
      <c r="I16" s="3"/>
      <c r="J16" s="128"/>
      <c r="K16" s="128"/>
      <c r="L16" s="128"/>
      <c r="M16" s="128"/>
      <c r="N16" s="128"/>
      <c r="O16" s="128"/>
      <c r="P16" s="128"/>
      <c r="Q16" s="128"/>
    </row>
    <row r="17" spans="1:17" s="1" customFormat="1" x14ac:dyDescent="0.55000000000000004">
      <c r="A17" s="32"/>
      <c r="B17" s="470"/>
      <c r="C17" s="469"/>
      <c r="D17" s="469"/>
      <c r="E17" s="469"/>
      <c r="F17" s="469"/>
      <c r="G17" s="471"/>
      <c r="I17" s="3"/>
      <c r="J17" s="128"/>
      <c r="K17" s="128"/>
      <c r="L17" s="128"/>
      <c r="M17" s="128"/>
      <c r="N17" s="128"/>
      <c r="O17" s="128"/>
      <c r="P17" s="128"/>
      <c r="Q17" s="128"/>
    </row>
    <row r="18" spans="1:17" s="1" customFormat="1" x14ac:dyDescent="0.55000000000000004">
      <c r="A18" s="32"/>
      <c r="B18" s="470"/>
      <c r="C18" s="469"/>
      <c r="D18" s="469"/>
      <c r="E18" s="469"/>
      <c r="F18" s="469"/>
      <c r="G18" s="471"/>
      <c r="I18" s="3"/>
      <c r="J18" s="128"/>
      <c r="K18" s="128"/>
      <c r="L18" s="128"/>
      <c r="M18" s="128"/>
      <c r="N18" s="128"/>
      <c r="O18" s="128"/>
      <c r="P18" s="128"/>
      <c r="Q18" s="128"/>
    </row>
    <row r="19" spans="1:17" s="1" customFormat="1" x14ac:dyDescent="0.55000000000000004">
      <c r="A19" s="32"/>
      <c r="B19" s="470"/>
      <c r="C19" s="469"/>
      <c r="D19" s="469"/>
      <c r="E19" s="469"/>
      <c r="F19" s="469"/>
      <c r="G19" s="471"/>
      <c r="I19" s="3"/>
      <c r="J19" s="128"/>
      <c r="K19" s="128"/>
      <c r="L19" s="128"/>
      <c r="M19" s="128"/>
      <c r="N19" s="128"/>
      <c r="O19" s="128"/>
      <c r="P19" s="128"/>
      <c r="Q19" s="128"/>
    </row>
    <row r="20" spans="1:17" s="1" customFormat="1" x14ac:dyDescent="0.55000000000000004">
      <c r="A20" s="32"/>
      <c r="B20" s="470"/>
      <c r="C20" s="469"/>
      <c r="D20" s="469"/>
      <c r="E20" s="469"/>
      <c r="F20" s="469"/>
      <c r="G20" s="471"/>
      <c r="I20" s="3"/>
      <c r="J20" s="128"/>
      <c r="K20" s="128"/>
      <c r="L20" s="128"/>
      <c r="M20" s="128"/>
      <c r="N20" s="128"/>
      <c r="O20" s="128"/>
      <c r="P20" s="128"/>
      <c r="Q20" s="128"/>
    </row>
    <row r="21" spans="1:17" s="1" customFormat="1" x14ac:dyDescent="0.55000000000000004">
      <c r="A21" s="32"/>
      <c r="B21" s="305" t="s">
        <v>125</v>
      </c>
      <c r="C21" s="31"/>
      <c r="D21" s="31"/>
      <c r="E21" s="31"/>
      <c r="F21" s="31"/>
      <c r="G21" s="301"/>
      <c r="I21" s="3"/>
      <c r="J21" s="128"/>
      <c r="K21" s="128"/>
      <c r="L21" s="128"/>
      <c r="M21" s="128"/>
      <c r="N21" s="128"/>
      <c r="O21" s="128"/>
      <c r="P21" s="128"/>
      <c r="Q21" s="128"/>
    </row>
    <row r="22" spans="1:17" s="1" customFormat="1" x14ac:dyDescent="0.55000000000000004">
      <c r="A22" s="32"/>
      <c r="B22" s="470"/>
      <c r="C22" s="469"/>
      <c r="D22" s="469"/>
      <c r="E22" s="469"/>
      <c r="F22" s="469"/>
      <c r="G22" s="471"/>
      <c r="I22" s="3"/>
      <c r="J22" s="128"/>
      <c r="K22" s="128"/>
      <c r="L22" s="128"/>
      <c r="M22" s="128"/>
      <c r="N22" s="128"/>
      <c r="O22" s="128"/>
      <c r="P22" s="128"/>
      <c r="Q22" s="128"/>
    </row>
    <row r="23" spans="1:17" s="1" customFormat="1" x14ac:dyDescent="0.55000000000000004">
      <c r="A23" s="32"/>
      <c r="B23" s="470"/>
      <c r="C23" s="469"/>
      <c r="D23" s="469"/>
      <c r="E23" s="469"/>
      <c r="F23" s="469"/>
      <c r="G23" s="471"/>
      <c r="I23" s="3"/>
      <c r="J23" s="128"/>
      <c r="K23" s="128"/>
      <c r="L23" s="128"/>
      <c r="M23" s="128"/>
      <c r="N23" s="128"/>
      <c r="O23" s="128"/>
      <c r="P23" s="128"/>
      <c r="Q23" s="128"/>
    </row>
    <row r="24" spans="1:17" s="1" customFormat="1" x14ac:dyDescent="0.55000000000000004">
      <c r="A24" s="34"/>
      <c r="B24" s="473"/>
      <c r="C24" s="474"/>
      <c r="D24" s="474"/>
      <c r="E24" s="474"/>
      <c r="F24" s="474"/>
      <c r="G24" s="475"/>
      <c r="I24" s="3"/>
      <c r="J24" s="128"/>
      <c r="K24" s="128"/>
      <c r="L24" s="128"/>
      <c r="M24" s="128"/>
      <c r="N24" s="128"/>
      <c r="O24" s="128"/>
      <c r="P24" s="128"/>
      <c r="Q24" s="128"/>
    </row>
    <row r="25" spans="1:17" x14ac:dyDescent="0.55000000000000004">
      <c r="A25" s="115" t="s">
        <v>11</v>
      </c>
      <c r="B25" s="51"/>
      <c r="C25" s="51"/>
      <c r="D25" s="51"/>
      <c r="E25" s="51"/>
      <c r="F25" s="51"/>
      <c r="G25" s="51"/>
    </row>
    <row r="26" spans="1:17" ht="43.5" x14ac:dyDescent="0.55000000000000004">
      <c r="A26" s="476" t="s">
        <v>12</v>
      </c>
      <c r="B26" s="476"/>
      <c r="C26" s="476"/>
      <c r="D26" s="121" t="s">
        <v>13</v>
      </c>
      <c r="E26" s="121" t="s">
        <v>14</v>
      </c>
      <c r="F26" s="121" t="s">
        <v>403</v>
      </c>
      <c r="G26" s="121" t="s">
        <v>16</v>
      </c>
      <c r="I26" s="6">
        <v>0</v>
      </c>
    </row>
    <row r="27" spans="1:17" ht="43.5" customHeight="1" x14ac:dyDescent="0.55000000000000004">
      <c r="A27" s="477" t="s">
        <v>127</v>
      </c>
      <c r="B27" s="477"/>
      <c r="C27" s="477"/>
      <c r="D27" s="228">
        <v>3</v>
      </c>
      <c r="E27" s="228">
        <v>3</v>
      </c>
      <c r="F27" s="41">
        <f>E27</f>
        <v>3</v>
      </c>
      <c r="G27" s="88" t="str">
        <f>IF(E27&gt;=D27,"บรรลุ","ไม่บรรลุ")</f>
        <v>บรรลุ</v>
      </c>
      <c r="I27" s="141">
        <v>1</v>
      </c>
      <c r="J27" s="162"/>
    </row>
    <row r="28" spans="1:17" s="1" customFormat="1" x14ac:dyDescent="0.55000000000000004">
      <c r="A28" s="294"/>
      <c r="B28" s="294"/>
      <c r="C28" s="294"/>
      <c r="D28" s="294"/>
      <c r="E28" s="294"/>
      <c r="F28" s="294"/>
      <c r="G28" s="294"/>
      <c r="I28" s="3">
        <v>2</v>
      </c>
      <c r="J28" s="425"/>
      <c r="K28" s="128"/>
      <c r="L28" s="128"/>
      <c r="M28" s="128"/>
      <c r="N28" s="128"/>
      <c r="O28" s="128"/>
      <c r="P28" s="128"/>
      <c r="Q28" s="128"/>
    </row>
    <row r="29" spans="1:17" s="1" customFormat="1" x14ac:dyDescent="0.55000000000000004">
      <c r="A29" s="294"/>
      <c r="B29" s="294"/>
      <c r="C29" s="294"/>
      <c r="D29" s="420"/>
      <c r="E29" s="294"/>
      <c r="F29" s="294"/>
      <c r="G29" s="294"/>
      <c r="I29" s="424">
        <v>3</v>
      </c>
      <c r="J29" s="425"/>
      <c r="K29" s="128"/>
      <c r="L29" s="128"/>
      <c r="M29" s="128"/>
      <c r="N29" s="128"/>
      <c r="O29" s="128"/>
      <c r="P29" s="128"/>
      <c r="Q29" s="128"/>
    </row>
    <row r="30" spans="1:17" s="1" customFormat="1" x14ac:dyDescent="0.55000000000000004">
      <c r="A30" s="294"/>
      <c r="B30" s="294"/>
      <c r="C30" s="294"/>
      <c r="D30" s="294"/>
      <c r="E30" s="294"/>
      <c r="F30" s="294"/>
      <c r="G30" s="294"/>
      <c r="I30" s="3">
        <v>4</v>
      </c>
      <c r="J30" s="425"/>
      <c r="K30" s="128"/>
      <c r="L30" s="128"/>
      <c r="M30" s="128"/>
      <c r="N30" s="128"/>
      <c r="O30" s="128"/>
      <c r="P30" s="128"/>
      <c r="Q30" s="128"/>
    </row>
    <row r="31" spans="1:17" x14ac:dyDescent="0.55000000000000004">
      <c r="A31" s="51"/>
      <c r="B31" s="51"/>
      <c r="C31" s="51"/>
      <c r="D31" s="51"/>
      <c r="E31" s="51"/>
      <c r="F31" s="51"/>
      <c r="G31" s="51"/>
      <c r="I31" s="141">
        <v>5</v>
      </c>
      <c r="J31" s="162"/>
    </row>
    <row r="32" spans="1:17" x14ac:dyDescent="0.55000000000000004">
      <c r="A32" s="51"/>
      <c r="B32" s="51"/>
      <c r="C32" s="51"/>
      <c r="D32" s="51"/>
      <c r="E32" s="51"/>
      <c r="F32" s="51"/>
      <c r="G32" s="51"/>
    </row>
    <row r="33" spans="1:7" x14ac:dyDescent="0.55000000000000004">
      <c r="A33" s="51"/>
      <c r="B33" s="51"/>
      <c r="C33" s="51"/>
      <c r="D33" s="51"/>
      <c r="E33" s="51"/>
      <c r="F33" s="51"/>
      <c r="G33" s="51"/>
    </row>
  </sheetData>
  <sheetProtection sheet="1" objects="1" scenarios="1" formatCells="0" formatRows="0" insertRows="0" deleteRows="0"/>
  <mergeCells count="21">
    <mergeCell ref="B9:G9"/>
    <mergeCell ref="B22:G22"/>
    <mergeCell ref="B5:G5"/>
    <mergeCell ref="B24:G24"/>
    <mergeCell ref="B2:G2"/>
    <mergeCell ref="B11:G11"/>
    <mergeCell ref="B12:G12"/>
    <mergeCell ref="B13:G13"/>
    <mergeCell ref="B14:G14"/>
    <mergeCell ref="B7:G7"/>
    <mergeCell ref="B8:G8"/>
    <mergeCell ref="B23:G23"/>
    <mergeCell ref="B4:G4"/>
    <mergeCell ref="A26:C26"/>
    <mergeCell ref="A27:C27"/>
    <mergeCell ref="B6:G6"/>
    <mergeCell ref="B15:G15"/>
    <mergeCell ref="B17:G17"/>
    <mergeCell ref="B18:G18"/>
    <mergeCell ref="B19:G19"/>
    <mergeCell ref="B20:G20"/>
  </mergeCells>
  <dataValidations count="1">
    <dataValidation type="list" allowBlank="1" showInputMessage="1" showErrorMessage="1" sqref="D27:E27">
      <formula1>$I$26:$I$31</formula1>
    </dataValidation>
  </dataValidations>
  <hyperlinks>
    <hyperlink ref="H3" location="ข้อมูลพื้นฐาน!A1" display="Main Menu"/>
    <hyperlink ref="H5" location="'หมวด4-5.3'!A1" display="Next &gt;&gt; ตัวบ่งชี้ที่ 5.3"/>
    <hyperlink ref="H4" location="'หมวด4-5.1'!A1" display="&lt;&lt; Previois ตัวบ่งชี้ที่ 5.1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theme="9" tint="0.79998168889431442"/>
  </sheetPr>
  <dimension ref="A1:J31"/>
  <sheetViews>
    <sheetView showGridLines="0" zoomScale="115" zoomScaleNormal="115" zoomScaleSheetLayoutView="115" workbookViewId="0">
      <selection activeCell="B4" sqref="B4"/>
    </sheetView>
  </sheetViews>
  <sheetFormatPr defaultRowHeight="24" x14ac:dyDescent="0.55000000000000004"/>
  <cols>
    <col min="1" max="1" width="6" style="2" customWidth="1"/>
    <col min="2" max="2" width="9" style="2"/>
    <col min="3" max="3" width="17.75" style="2" customWidth="1"/>
    <col min="4" max="7" width="13.125" style="2" customWidth="1"/>
    <col min="8" max="8" width="20.875" style="2" bestFit="1" customWidth="1"/>
    <col min="9" max="9" width="9" style="5" hidden="1" customWidth="1"/>
    <col min="10" max="16384" width="9" style="2"/>
  </cols>
  <sheetData>
    <row r="1" spans="1:9" x14ac:dyDescent="0.55000000000000004">
      <c r="A1" s="4" t="s">
        <v>119</v>
      </c>
    </row>
    <row r="2" spans="1:9" x14ac:dyDescent="0.55000000000000004">
      <c r="A2" s="89" t="s">
        <v>12</v>
      </c>
      <c r="B2" s="472" t="s">
        <v>23</v>
      </c>
      <c r="C2" s="472"/>
      <c r="D2" s="472"/>
      <c r="E2" s="472"/>
      <c r="F2" s="472"/>
      <c r="G2" s="472"/>
    </row>
    <row r="3" spans="1:9" x14ac:dyDescent="0.55000000000000004">
      <c r="A3" s="38">
        <v>5.3</v>
      </c>
      <c r="B3" s="60" t="s">
        <v>128</v>
      </c>
      <c r="C3" s="14"/>
      <c r="D3" s="14"/>
      <c r="E3" s="14"/>
      <c r="F3" s="14"/>
      <c r="G3" s="15"/>
      <c r="H3" s="181" t="s">
        <v>346</v>
      </c>
    </row>
    <row r="4" spans="1:9" x14ac:dyDescent="0.55000000000000004">
      <c r="A4" s="17"/>
      <c r="B4" s="61" t="s">
        <v>131</v>
      </c>
      <c r="C4" s="14"/>
      <c r="D4" s="14"/>
      <c r="E4" s="14"/>
      <c r="F4" s="14"/>
      <c r="G4" s="15"/>
      <c r="H4" s="182" t="s">
        <v>391</v>
      </c>
    </row>
    <row r="5" spans="1:9" x14ac:dyDescent="0.55000000000000004">
      <c r="A5" s="17"/>
      <c r="B5" s="61" t="s">
        <v>130</v>
      </c>
      <c r="C5" s="14"/>
      <c r="D5" s="14"/>
      <c r="E5" s="14"/>
      <c r="F5" s="14"/>
      <c r="G5" s="15"/>
      <c r="H5" s="183" t="s">
        <v>392</v>
      </c>
    </row>
    <row r="6" spans="1:9" x14ac:dyDescent="0.55000000000000004">
      <c r="A6" s="17"/>
      <c r="B6" s="660" t="s">
        <v>129</v>
      </c>
      <c r="C6" s="661"/>
      <c r="D6" s="661"/>
      <c r="E6" s="661"/>
      <c r="F6" s="661"/>
      <c r="G6" s="662"/>
    </row>
    <row r="7" spans="1:9" x14ac:dyDescent="0.55000000000000004">
      <c r="A7" s="17"/>
      <c r="B7" s="62" t="str">
        <f>IF(OR(เกณฑ์=1,เกณฑ์=2)," ",I7)</f>
        <v xml:space="preserve"> </v>
      </c>
      <c r="C7" s="14"/>
      <c r="D7" s="14"/>
      <c r="E7" s="14"/>
      <c r="F7" s="14"/>
      <c r="G7" s="15"/>
      <c r="I7" s="152" t="s">
        <v>186</v>
      </c>
    </row>
    <row r="8" spans="1:9" x14ac:dyDescent="0.55000000000000004">
      <c r="A8" s="17"/>
      <c r="B8" s="13" t="s">
        <v>28</v>
      </c>
      <c r="C8" s="14"/>
      <c r="D8" s="14"/>
      <c r="E8" s="14"/>
      <c r="F8" s="14"/>
      <c r="G8" s="15"/>
    </row>
    <row r="9" spans="1:9" s="1" customFormat="1" x14ac:dyDescent="0.55000000000000004">
      <c r="A9" s="32"/>
      <c r="B9" s="470"/>
      <c r="C9" s="469"/>
      <c r="D9" s="469"/>
      <c r="E9" s="469"/>
      <c r="F9" s="469"/>
      <c r="G9" s="471"/>
      <c r="I9" s="160"/>
    </row>
    <row r="10" spans="1:9" s="1" customFormat="1" x14ac:dyDescent="0.55000000000000004">
      <c r="A10" s="32"/>
      <c r="B10" s="470"/>
      <c r="C10" s="469"/>
      <c r="D10" s="469"/>
      <c r="E10" s="469"/>
      <c r="F10" s="469"/>
      <c r="G10" s="471"/>
      <c r="I10" s="160"/>
    </row>
    <row r="11" spans="1:9" s="1" customFormat="1" x14ac:dyDescent="0.55000000000000004">
      <c r="A11" s="32"/>
      <c r="B11" s="470"/>
      <c r="C11" s="469"/>
      <c r="D11" s="469"/>
      <c r="E11" s="469"/>
      <c r="F11" s="469"/>
      <c r="G11" s="471"/>
      <c r="I11" s="160"/>
    </row>
    <row r="12" spans="1:9" s="1" customFormat="1" x14ac:dyDescent="0.55000000000000004">
      <c r="A12" s="32"/>
      <c r="B12" s="470"/>
      <c r="C12" s="469"/>
      <c r="D12" s="469"/>
      <c r="E12" s="469"/>
      <c r="F12" s="469"/>
      <c r="G12" s="471"/>
      <c r="I12" s="160"/>
    </row>
    <row r="13" spans="1:9" s="1" customFormat="1" x14ac:dyDescent="0.55000000000000004">
      <c r="A13" s="32"/>
      <c r="B13" s="470"/>
      <c r="C13" s="469"/>
      <c r="D13" s="469"/>
      <c r="E13" s="469"/>
      <c r="F13" s="469"/>
      <c r="G13" s="471"/>
      <c r="I13" s="160"/>
    </row>
    <row r="14" spans="1:9" x14ac:dyDescent="0.55000000000000004">
      <c r="A14" s="17"/>
      <c r="B14" s="13" t="s">
        <v>73</v>
      </c>
      <c r="C14" s="14"/>
      <c r="D14" s="14"/>
      <c r="E14" s="14"/>
      <c r="F14" s="14"/>
      <c r="G14" s="15"/>
    </row>
    <row r="15" spans="1:9" s="1" customFormat="1" x14ac:dyDescent="0.55000000000000004">
      <c r="A15" s="32"/>
      <c r="B15" s="470"/>
      <c r="C15" s="469"/>
      <c r="D15" s="469"/>
      <c r="E15" s="469"/>
      <c r="F15" s="469"/>
      <c r="G15" s="471"/>
      <c r="I15" s="160"/>
    </row>
    <row r="16" spans="1:9" s="1" customFormat="1" x14ac:dyDescent="0.55000000000000004">
      <c r="A16" s="32"/>
      <c r="B16" s="470"/>
      <c r="C16" s="469"/>
      <c r="D16" s="469"/>
      <c r="E16" s="469"/>
      <c r="F16" s="469"/>
      <c r="G16" s="471"/>
      <c r="I16" s="160"/>
    </row>
    <row r="17" spans="1:10" s="1" customFormat="1" x14ac:dyDescent="0.55000000000000004">
      <c r="A17" s="32"/>
      <c r="B17" s="470"/>
      <c r="C17" s="469"/>
      <c r="D17" s="469"/>
      <c r="E17" s="469"/>
      <c r="F17" s="469"/>
      <c r="G17" s="471"/>
      <c r="I17" s="160"/>
    </row>
    <row r="18" spans="1:10" s="1" customFormat="1" x14ac:dyDescent="0.55000000000000004">
      <c r="A18" s="32"/>
      <c r="B18" s="470"/>
      <c r="C18" s="469"/>
      <c r="D18" s="469"/>
      <c r="E18" s="469"/>
      <c r="F18" s="469"/>
      <c r="G18" s="471"/>
      <c r="I18" s="160"/>
    </row>
    <row r="19" spans="1:10" x14ac:dyDescent="0.55000000000000004">
      <c r="A19" s="17"/>
      <c r="B19" s="13" t="s">
        <v>125</v>
      </c>
      <c r="C19" s="14"/>
      <c r="D19" s="14"/>
      <c r="E19" s="14"/>
      <c r="F19" s="14"/>
      <c r="G19" s="15"/>
    </row>
    <row r="20" spans="1:10" s="1" customFormat="1" x14ac:dyDescent="0.55000000000000004">
      <c r="A20" s="32"/>
      <c r="B20" s="470"/>
      <c r="C20" s="469"/>
      <c r="D20" s="469"/>
      <c r="E20" s="469"/>
      <c r="F20" s="469"/>
      <c r="G20" s="471"/>
      <c r="I20" s="160"/>
    </row>
    <row r="21" spans="1:10" s="1" customFormat="1" x14ac:dyDescent="0.55000000000000004">
      <c r="A21" s="32"/>
      <c r="B21" s="470"/>
      <c r="C21" s="469"/>
      <c r="D21" s="469"/>
      <c r="E21" s="469"/>
      <c r="F21" s="469"/>
      <c r="G21" s="471"/>
      <c r="I21" s="160"/>
    </row>
    <row r="22" spans="1:10" s="1" customFormat="1" x14ac:dyDescent="0.55000000000000004">
      <c r="A22" s="34"/>
      <c r="B22" s="473"/>
      <c r="C22" s="474"/>
      <c r="D22" s="474"/>
      <c r="E22" s="474"/>
      <c r="F22" s="474"/>
      <c r="G22" s="475"/>
      <c r="I22" s="160"/>
    </row>
    <row r="23" spans="1:10" x14ac:dyDescent="0.55000000000000004">
      <c r="A23" s="115" t="s">
        <v>11</v>
      </c>
      <c r="B23" s="51"/>
      <c r="C23" s="51"/>
      <c r="D23" s="51"/>
      <c r="E23" s="51"/>
      <c r="F23" s="51"/>
      <c r="G23" s="51"/>
    </row>
    <row r="24" spans="1:10" ht="43.5" x14ac:dyDescent="0.55000000000000004">
      <c r="A24" s="476" t="s">
        <v>12</v>
      </c>
      <c r="B24" s="476"/>
      <c r="C24" s="476"/>
      <c r="D24" s="121" t="s">
        <v>13</v>
      </c>
      <c r="E24" s="121" t="s">
        <v>14</v>
      </c>
      <c r="F24" s="121" t="s">
        <v>15</v>
      </c>
      <c r="G24" s="121" t="s">
        <v>16</v>
      </c>
      <c r="I24" s="5">
        <v>0</v>
      </c>
    </row>
    <row r="25" spans="1:10" ht="42.75" customHeight="1" x14ac:dyDescent="0.55000000000000004">
      <c r="A25" s="477" t="s">
        <v>132</v>
      </c>
      <c r="B25" s="477"/>
      <c r="C25" s="477"/>
      <c r="D25" s="36">
        <v>4</v>
      </c>
      <c r="E25" s="36">
        <v>2</v>
      </c>
      <c r="F25" s="41">
        <f>E25</f>
        <v>2</v>
      </c>
      <c r="G25" s="88" t="str">
        <f>IF(E25&gt;=D25,"บรรลุ","ไม่บรรลุ")</f>
        <v>ไม่บรรลุ</v>
      </c>
      <c r="I25" s="59">
        <v>1</v>
      </c>
      <c r="J25" s="5"/>
    </row>
    <row r="26" spans="1:10" s="1" customFormat="1" x14ac:dyDescent="0.55000000000000004">
      <c r="A26" s="294"/>
      <c r="B26" s="294"/>
      <c r="C26" s="294"/>
      <c r="D26" s="294"/>
      <c r="E26" s="294"/>
      <c r="F26" s="294"/>
      <c r="G26" s="294"/>
      <c r="I26" s="160">
        <v>2</v>
      </c>
      <c r="J26" s="160"/>
    </row>
    <row r="27" spans="1:10" s="1" customFormat="1" x14ac:dyDescent="0.55000000000000004">
      <c r="A27" s="294"/>
      <c r="B27" s="294"/>
      <c r="C27" s="294"/>
      <c r="D27" s="420"/>
      <c r="E27" s="294"/>
      <c r="F27" s="294"/>
      <c r="G27" s="294"/>
      <c r="I27" s="423">
        <v>3</v>
      </c>
      <c r="J27" s="160"/>
    </row>
    <row r="28" spans="1:10" s="1" customFormat="1" x14ac:dyDescent="0.55000000000000004">
      <c r="A28" s="294"/>
      <c r="B28" s="294"/>
      <c r="C28" s="294"/>
      <c r="D28" s="294"/>
      <c r="E28" s="294"/>
      <c r="F28" s="294"/>
      <c r="G28" s="294"/>
      <c r="I28" s="160">
        <v>4</v>
      </c>
      <c r="J28" s="160"/>
    </row>
    <row r="29" spans="1:10" x14ac:dyDescent="0.55000000000000004">
      <c r="A29" s="51"/>
      <c r="B29" s="51"/>
      <c r="C29" s="51"/>
      <c r="D29" s="51"/>
      <c r="E29" s="51"/>
      <c r="F29" s="51"/>
      <c r="G29" s="51"/>
      <c r="I29" s="59">
        <v>5</v>
      </c>
      <c r="J29" s="5"/>
    </row>
    <row r="30" spans="1:10" x14ac:dyDescent="0.55000000000000004">
      <c r="A30" s="51"/>
      <c r="B30" s="51"/>
      <c r="C30" s="51"/>
      <c r="D30" s="51"/>
      <c r="E30" s="51"/>
      <c r="F30" s="51"/>
      <c r="G30" s="51"/>
    </row>
    <row r="31" spans="1:10" x14ac:dyDescent="0.55000000000000004">
      <c r="A31" s="51"/>
      <c r="B31" s="51"/>
      <c r="C31" s="51"/>
      <c r="D31" s="51"/>
      <c r="E31" s="51"/>
      <c r="F31" s="51"/>
      <c r="G31" s="51"/>
    </row>
  </sheetData>
  <sheetProtection sheet="1" objects="1" scenarios="1" formatRows="0" insertRows="0"/>
  <mergeCells count="16">
    <mergeCell ref="B12:G12"/>
    <mergeCell ref="B2:G2"/>
    <mergeCell ref="B6:G6"/>
    <mergeCell ref="B9:G9"/>
    <mergeCell ref="B10:G10"/>
    <mergeCell ref="B11:G11"/>
    <mergeCell ref="B21:G21"/>
    <mergeCell ref="B22:G22"/>
    <mergeCell ref="A24:C24"/>
    <mergeCell ref="A25:C25"/>
    <mergeCell ref="B13:G13"/>
    <mergeCell ref="B15:G15"/>
    <mergeCell ref="B16:G16"/>
    <mergeCell ref="B17:G17"/>
    <mergeCell ref="B18:G18"/>
    <mergeCell ref="B20:G20"/>
  </mergeCells>
  <dataValidations count="1">
    <dataValidation type="list" allowBlank="1" showInputMessage="1" showErrorMessage="1" sqref="D25:E25">
      <formula1>$I$24:$I$29</formula1>
    </dataValidation>
  </dataValidations>
  <hyperlinks>
    <hyperlink ref="H3" location="ข้อมูลพื้นฐาน!A1" display="Main Menu"/>
    <hyperlink ref="H5" location="'หมวด4-5.4'!A1" display="Next &gt;&gt; ตัวบ่งชี้ที่ 5.4"/>
    <hyperlink ref="H4" location="'หมวด4-5.2'!A1" display="&lt;&lt; Previois ตัวบ่งชี้ที่ 5.2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theme="9" tint="0.79998168889431442"/>
  </sheetPr>
  <dimension ref="A1:M51"/>
  <sheetViews>
    <sheetView showGridLines="0" zoomScale="115" zoomScaleNormal="115" zoomScaleSheetLayoutView="115" workbookViewId="0">
      <selection activeCell="G48" sqref="G48"/>
    </sheetView>
  </sheetViews>
  <sheetFormatPr defaultRowHeight="24" x14ac:dyDescent="0.55000000000000004"/>
  <cols>
    <col min="1" max="1" width="6" style="2" customWidth="1"/>
    <col min="2" max="2" width="8.5" style="2" customWidth="1"/>
    <col min="3" max="3" width="15.25" style="2" customWidth="1"/>
    <col min="4" max="4" width="12.25" style="2" customWidth="1"/>
    <col min="5" max="5" width="13.5" style="2" customWidth="1"/>
    <col min="6" max="6" width="10.875" style="2" customWidth="1"/>
    <col min="7" max="7" width="19.125" style="2" customWidth="1"/>
    <col min="8" max="8" width="29.375" style="2" customWidth="1"/>
    <col min="9" max="9" width="10.375" style="6" hidden="1" customWidth="1"/>
    <col min="10" max="10" width="13.125" style="6" hidden="1" customWidth="1"/>
    <col min="11" max="11" width="21.25" style="2" hidden="1" customWidth="1"/>
    <col min="12" max="12" width="31.625" style="2" hidden="1" customWidth="1"/>
    <col min="13" max="13" width="51.625" style="2" hidden="1" customWidth="1"/>
    <col min="14" max="16384" width="9" style="2"/>
  </cols>
  <sheetData>
    <row r="1" spans="1:13" x14ac:dyDescent="0.55000000000000004">
      <c r="A1" s="4" t="s">
        <v>119</v>
      </c>
    </row>
    <row r="2" spans="1:13" x14ac:dyDescent="0.55000000000000004">
      <c r="A2" s="178" t="s">
        <v>12</v>
      </c>
      <c r="B2" s="472" t="s">
        <v>23</v>
      </c>
      <c r="C2" s="472"/>
      <c r="D2" s="472"/>
      <c r="E2" s="472"/>
      <c r="F2" s="472"/>
      <c r="G2" s="472"/>
    </row>
    <row r="3" spans="1:13" x14ac:dyDescent="0.55000000000000004">
      <c r="A3" s="137">
        <v>5.4</v>
      </c>
      <c r="B3" s="69" t="s">
        <v>133</v>
      </c>
      <c r="C3" s="70"/>
      <c r="D3" s="70"/>
      <c r="E3" s="70"/>
      <c r="F3" s="70"/>
      <c r="G3" s="71"/>
      <c r="H3" s="181" t="s">
        <v>346</v>
      </c>
    </row>
    <row r="4" spans="1:13" x14ac:dyDescent="0.55000000000000004">
      <c r="A4" s="17"/>
      <c r="B4" s="48" t="s">
        <v>28</v>
      </c>
      <c r="C4" s="14"/>
      <c r="D4" s="14"/>
      <c r="E4" s="14"/>
      <c r="F4" s="14"/>
      <c r="G4" s="15"/>
      <c r="H4" s="182" t="s">
        <v>393</v>
      </c>
    </row>
    <row r="5" spans="1:13" ht="42" customHeight="1" x14ac:dyDescent="0.55000000000000004">
      <c r="A5" s="17"/>
      <c r="B5" s="664" t="str">
        <f>"             ผลการดำเนินงานหลักสูตรตามกรอบมาตรฐานคุณวุฒิระดับอุดมศึกษาแห่งชาติ หลักสูตร"&amp;ข้อมูลพื้นฐาน!C2&amp;" สาขาวิชา "&amp;ข้อมูลพื้นฐาน!C3&amp;" มีดังนี้ "</f>
        <v xml:space="preserve">             ผลการดำเนินงานหลักสูตรตามกรอบมาตรฐานคุณวุฒิระดับอุดมศึกษาแห่งชาติ หลักสูตรวิทยาศาสตรบัณฑิต สาขาวิชา อิเล็กทรอนิกส์สื่อสาร มีดังนี้ </v>
      </c>
      <c r="C5" s="586"/>
      <c r="D5" s="586"/>
      <c r="E5" s="586"/>
      <c r="F5" s="586"/>
      <c r="G5" s="268" t="s">
        <v>345</v>
      </c>
      <c r="H5" s="183" t="s">
        <v>394</v>
      </c>
      <c r="I5" s="6" t="s">
        <v>18</v>
      </c>
      <c r="J5" s="6" t="s">
        <v>142</v>
      </c>
    </row>
    <row r="6" spans="1:13" s="64" customFormat="1" ht="40.5" customHeight="1" x14ac:dyDescent="0.55000000000000004">
      <c r="A6" s="63"/>
      <c r="B6" s="163"/>
      <c r="C6" s="462" t="s">
        <v>134</v>
      </c>
      <c r="D6" s="663"/>
      <c r="E6" s="663"/>
      <c r="F6" s="463"/>
      <c r="G6" s="180"/>
      <c r="I6" s="65" t="b">
        <v>1</v>
      </c>
      <c r="J6" s="64" t="b">
        <v>1</v>
      </c>
      <c r="K6" s="64" t="str">
        <f>IF(AND(J6=TRUE,I6=FALSE),"1","")</f>
        <v/>
      </c>
    </row>
    <row r="7" spans="1:13" s="64" customFormat="1" ht="40.5" customHeight="1" x14ac:dyDescent="0.55000000000000004">
      <c r="A7" s="63"/>
      <c r="B7" s="163"/>
      <c r="C7" s="462" t="s">
        <v>135</v>
      </c>
      <c r="D7" s="663"/>
      <c r="E7" s="663"/>
      <c r="F7" s="463"/>
      <c r="G7" s="180"/>
      <c r="I7" s="65" t="b">
        <v>1</v>
      </c>
      <c r="J7" s="65" t="b">
        <v>1</v>
      </c>
      <c r="K7" s="64" t="str">
        <f>IF(AND(J7=TRUE,I7=FALSE),"2","")</f>
        <v/>
      </c>
    </row>
    <row r="8" spans="1:13" s="64" customFormat="1" ht="60.75" customHeight="1" x14ac:dyDescent="0.55000000000000004">
      <c r="A8" s="63"/>
      <c r="B8" s="163"/>
      <c r="C8" s="462" t="s">
        <v>331</v>
      </c>
      <c r="D8" s="663"/>
      <c r="E8" s="663"/>
      <c r="F8" s="463"/>
      <c r="G8" s="180"/>
      <c r="I8" s="65" t="b">
        <v>1</v>
      </c>
      <c r="J8" s="65" t="b">
        <v>1</v>
      </c>
      <c r="K8" s="64" t="str">
        <f>IF(AND(J8=TRUE,I8=FALSE),"3","")</f>
        <v/>
      </c>
    </row>
    <row r="9" spans="1:13" s="64" customFormat="1" ht="60.75" customHeight="1" x14ac:dyDescent="0.55000000000000004">
      <c r="A9" s="63"/>
      <c r="B9" s="163"/>
      <c r="C9" s="462" t="s">
        <v>136</v>
      </c>
      <c r="D9" s="663"/>
      <c r="E9" s="663"/>
      <c r="F9" s="463"/>
      <c r="G9" s="180"/>
      <c r="I9" s="65" t="b">
        <v>1</v>
      </c>
      <c r="J9" s="65" t="b">
        <v>1</v>
      </c>
      <c r="K9" s="64" t="str">
        <f>IF(AND(J9=TRUE,I9=FALSE),"4","")</f>
        <v/>
      </c>
    </row>
    <row r="10" spans="1:13" s="64" customFormat="1" ht="41.25" customHeight="1" x14ac:dyDescent="0.55000000000000004">
      <c r="A10" s="63"/>
      <c r="B10" s="163"/>
      <c r="C10" s="462" t="s">
        <v>137</v>
      </c>
      <c r="D10" s="663"/>
      <c r="E10" s="663"/>
      <c r="F10" s="463"/>
      <c r="G10" s="180"/>
      <c r="I10" s="65" t="b">
        <v>1</v>
      </c>
      <c r="J10" s="65" t="b">
        <v>1</v>
      </c>
      <c r="K10" s="64" t="str">
        <f>IF(AND(J10=TRUE,I10=FALSE),"5","")</f>
        <v/>
      </c>
    </row>
    <row r="11" spans="1:13" s="64" customFormat="1" ht="60.75" customHeight="1" x14ac:dyDescent="0.55000000000000004">
      <c r="A11" s="63"/>
      <c r="B11" s="164"/>
      <c r="C11" s="462" t="s">
        <v>138</v>
      </c>
      <c r="D11" s="663"/>
      <c r="E11" s="663"/>
      <c r="F11" s="463"/>
      <c r="G11" s="180"/>
      <c r="I11" s="65" t="b">
        <v>1</v>
      </c>
      <c r="J11" s="65" t="b">
        <v>1</v>
      </c>
      <c r="K11" s="64" t="str">
        <f>IF(AND(J11=TRUE,I11=FALSE),"6","")</f>
        <v/>
      </c>
    </row>
    <row r="12" spans="1:13" s="64" customFormat="1" ht="42" customHeight="1" x14ac:dyDescent="0.55000000000000004">
      <c r="A12" s="63"/>
      <c r="B12" s="164"/>
      <c r="C12" s="462" t="s">
        <v>139</v>
      </c>
      <c r="D12" s="663"/>
      <c r="E12" s="663"/>
      <c r="F12" s="463"/>
      <c r="G12" s="180"/>
      <c r="I12" s="65" t="b">
        <v>1</v>
      </c>
      <c r="J12" s="65" t="b">
        <v>1</v>
      </c>
      <c r="K12" s="64" t="str">
        <f>IF(AND(J12=TRUE,I12=FALSE),"7","")</f>
        <v/>
      </c>
    </row>
    <row r="13" spans="1:13" s="64" customFormat="1" ht="40.5" customHeight="1" x14ac:dyDescent="0.55000000000000004">
      <c r="A13" s="63"/>
      <c r="B13" s="164"/>
      <c r="C13" s="462" t="str">
        <f>IF(ข้อมูลพื้นฐาน!$G$7="วิทยาลัยพยาบาล",'หมวด4-5.4'!M13,'หมวด4-5.4'!L13)</f>
        <v>(8) อาจารย์ใหม่ (ถ้ามี) ทุกคน ได้รับการปฐมนิเทศหรือคำแนะนำด้านการจัดการเรียนการสอน</v>
      </c>
      <c r="D13" s="663"/>
      <c r="E13" s="663"/>
      <c r="F13" s="463"/>
      <c r="G13" s="180"/>
      <c r="I13" s="65" t="b">
        <v>1</v>
      </c>
      <c r="J13" s="65" t="b">
        <v>1</v>
      </c>
      <c r="K13" s="64" t="str">
        <f>IF(AND(J13=TRUE,I13=FALSE),"8","")</f>
        <v/>
      </c>
      <c r="L13" s="417" t="s">
        <v>140</v>
      </c>
      <c r="M13" s="416" t="s">
        <v>467</v>
      </c>
    </row>
    <row r="14" spans="1:13" s="64" customFormat="1" ht="40.5" customHeight="1" x14ac:dyDescent="0.55000000000000004">
      <c r="A14" s="63"/>
      <c r="B14" s="165"/>
      <c r="C14" s="462" t="str">
        <f>IF(ข้อมูลพื้นฐาน!$G$7="วิทยาลัยพยาบาล",'หมวด4-5.4'!M14,'หมวด4-5.4'!L14)</f>
        <v>(9) อาจารย์ประจำทุกคนได้รับการพัฒนาทางวิชาการ และ/หรือวิชาชีพ อย่างน้อยปีละหนึ่งครั้ง</v>
      </c>
      <c r="D14" s="663"/>
      <c r="E14" s="663"/>
      <c r="F14" s="463"/>
      <c r="G14" s="180"/>
      <c r="I14" s="65" t="b">
        <v>1</v>
      </c>
      <c r="J14" s="65" t="b">
        <v>1</v>
      </c>
      <c r="K14" s="64" t="str">
        <f>IF(AND(J14=TRUE,I14=FALSE),"9","")</f>
        <v/>
      </c>
      <c r="L14" s="417" t="s">
        <v>478</v>
      </c>
      <c r="M14" s="416" t="s">
        <v>468</v>
      </c>
    </row>
    <row r="15" spans="1:13" s="64" customFormat="1" ht="40.5" customHeight="1" x14ac:dyDescent="0.55000000000000004">
      <c r="A15" s="63"/>
      <c r="B15" s="164"/>
      <c r="C15" s="462" t="str">
        <f>IF(ข้อมูลพื้นฐาน!$G$7="วิทยาลัยพยาบาล",'หมวด4-5.4'!M15,'หมวด4-5.4'!L15)</f>
        <v>(10) 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</v>
      </c>
      <c r="D15" s="663"/>
      <c r="E15" s="663"/>
      <c r="F15" s="463"/>
      <c r="G15" s="180"/>
      <c r="I15" s="65" t="b">
        <v>1</v>
      </c>
      <c r="J15" s="65" t="b">
        <v>1</v>
      </c>
      <c r="K15" s="64" t="str">
        <f>IF(AND(J15=TRUE,I15=FALSE),"10","")</f>
        <v/>
      </c>
      <c r="L15" s="417" t="s">
        <v>141</v>
      </c>
      <c r="M15" s="416" t="s">
        <v>469</v>
      </c>
    </row>
    <row r="16" spans="1:13" s="64" customFormat="1" ht="40.5" customHeight="1" x14ac:dyDescent="0.55000000000000004">
      <c r="A16" s="63"/>
      <c r="B16" s="164"/>
      <c r="C16" s="462" t="str">
        <f>IF(ข้อมูลพื้นฐาน!$G$7="วิทยาลัยพยาบาล",'หมวด4-5.4'!M16,'หมวด4-5.4'!L16)</f>
        <v>(11) ระดับความพึงพอใจของนักศึกษาปีสุดท้าย/ บัณฑิตใหม่ที่มีต่อคุณภาพหลักสูตรเฉลี่ยไม่น้อยกว่า 3.51 จากคะแนนเต็ม 5.0</v>
      </c>
      <c r="D16" s="663"/>
      <c r="E16" s="663"/>
      <c r="F16" s="463"/>
      <c r="G16" s="216"/>
      <c r="I16" s="65" t="b">
        <v>1</v>
      </c>
      <c r="J16" s="65" t="b">
        <v>1</v>
      </c>
      <c r="K16" s="64" t="str">
        <f>IF(AND(J16=TRUE,I16=FALSE),"11","")</f>
        <v/>
      </c>
      <c r="L16" s="417" t="s">
        <v>476</v>
      </c>
      <c r="M16" s="416" t="s">
        <v>470</v>
      </c>
    </row>
    <row r="17" spans="1:13" s="64" customFormat="1" ht="40.5" customHeight="1" x14ac:dyDescent="0.55000000000000004">
      <c r="A17" s="63"/>
      <c r="B17" s="164"/>
      <c r="C17" s="462" t="str">
        <f>IF(ข้อมูลพื้นฐาน!$G$7="วิทยาลัยพยาบาล",'หมวด4-5.4'!M17,'หมวด4-5.4'!L17)</f>
        <v>(12) ระดับความพึงพอใจของผู้ใช้บัณฑิตที่มีต่อบัณฑิตใหม่ เฉลี่ยไม่น้อยกว่า 3.51 จากคะแนนเต็ม 5.00</v>
      </c>
      <c r="D17" s="663"/>
      <c r="E17" s="663"/>
      <c r="F17" s="463"/>
      <c r="G17" s="216"/>
      <c r="I17" s="65" t="b">
        <v>1</v>
      </c>
      <c r="J17" s="65" t="b">
        <v>1</v>
      </c>
      <c r="K17" s="64" t="str">
        <f>IF(AND(J17=TRUE,I17=FALSE),"12","")</f>
        <v/>
      </c>
      <c r="L17" s="417" t="s">
        <v>477</v>
      </c>
      <c r="M17" s="416" t="s">
        <v>471</v>
      </c>
    </row>
    <row r="18" spans="1:13" s="64" customFormat="1" ht="40.5" customHeight="1" x14ac:dyDescent="0.55000000000000004">
      <c r="A18" s="63"/>
      <c r="B18" s="164"/>
      <c r="C18" s="462" t="str">
        <f>IF(ข้อมูลพื้นฐาน!$G$7="วิทยาลัยพยาบาล",'หมวด4-5.4'!M18,'หมวด4-5.4'!L18)</f>
        <v xml:space="preserve"> </v>
      </c>
      <c r="D18" s="663"/>
      <c r="E18" s="663"/>
      <c r="F18" s="463"/>
      <c r="G18" s="216"/>
      <c r="I18" s="65" t="b">
        <v>0</v>
      </c>
      <c r="J18" s="65" t="b">
        <v>0</v>
      </c>
      <c r="K18" s="64" t="str">
        <f>IF(AND(J18=TRUE,I18=FALSE),"13","")</f>
        <v/>
      </c>
      <c r="L18" s="417" t="s">
        <v>176</v>
      </c>
      <c r="M18" s="416" t="s">
        <v>472</v>
      </c>
    </row>
    <row r="19" spans="1:13" s="64" customFormat="1" ht="40.5" customHeight="1" x14ac:dyDescent="0.55000000000000004">
      <c r="A19" s="63"/>
      <c r="B19" s="164"/>
      <c r="C19" s="462" t="str">
        <f>IF(ข้อมูลพื้นฐาน!$G$7="วิทยาลัยพยาบาล",'หมวด4-5.4'!M19,'หมวด4-5.4'!L19)</f>
        <v xml:space="preserve"> </v>
      </c>
      <c r="D19" s="663"/>
      <c r="E19" s="663"/>
      <c r="F19" s="463"/>
      <c r="G19" s="216"/>
      <c r="I19" s="65" t="b">
        <v>0</v>
      </c>
      <c r="J19" s="65" t="b">
        <v>0</v>
      </c>
      <c r="K19" s="64" t="str">
        <f>IF(AND(J19=TRUE,I19=FALSE),"14","")</f>
        <v/>
      </c>
      <c r="L19" s="417" t="s">
        <v>176</v>
      </c>
      <c r="M19" s="416" t="s">
        <v>473</v>
      </c>
    </row>
    <row r="20" spans="1:13" s="64" customFormat="1" ht="40.5" customHeight="1" x14ac:dyDescent="0.55000000000000004">
      <c r="A20" s="63"/>
      <c r="B20" s="164"/>
      <c r="C20" s="462" t="str">
        <f>IF(ข้อมูลพื้นฐาน!$G$7="วิทยาลัยพยาบาล",'หมวด4-5.4'!M20,'หมวด4-5.4'!L20)</f>
        <v xml:space="preserve"> </v>
      </c>
      <c r="D20" s="663"/>
      <c r="E20" s="663"/>
      <c r="F20" s="463"/>
      <c r="G20" s="216"/>
      <c r="I20" s="65" t="b">
        <v>0</v>
      </c>
      <c r="J20" s="65" t="b">
        <v>0</v>
      </c>
      <c r="K20" s="64" t="str">
        <f>IF(AND(J20=TRUE,I20=FALSE),"15","")</f>
        <v/>
      </c>
      <c r="L20" s="417" t="s">
        <v>176</v>
      </c>
      <c r="M20" s="416" t="s">
        <v>474</v>
      </c>
    </row>
    <row r="21" spans="1:13" s="64" customFormat="1" ht="40.5" customHeight="1" x14ac:dyDescent="0.55000000000000004">
      <c r="A21" s="63"/>
      <c r="B21" s="164"/>
      <c r="C21" s="462" t="str">
        <f>IF(ข้อมูลพื้นฐาน!$G$7="วิทยาลัยพยาบาล",'หมวด4-5.4'!M21,'หมวด4-5.4'!L21)</f>
        <v xml:space="preserve"> </v>
      </c>
      <c r="D21" s="663"/>
      <c r="E21" s="663"/>
      <c r="F21" s="463"/>
      <c r="G21" s="216"/>
      <c r="I21" s="65" t="b">
        <v>0</v>
      </c>
      <c r="J21" s="65" t="b">
        <v>0</v>
      </c>
      <c r="K21" s="64" t="str">
        <f>IF(AND(J21=TRUE,I21=FALSE),"16","")</f>
        <v/>
      </c>
      <c r="L21" s="417" t="s">
        <v>176</v>
      </c>
      <c r="M21" s="417" t="s">
        <v>475</v>
      </c>
    </row>
    <row r="22" spans="1:13" s="64" customFormat="1" ht="40.5" customHeight="1" x14ac:dyDescent="0.55000000000000004">
      <c r="A22" s="63"/>
      <c r="B22" s="164"/>
      <c r="C22" s="462"/>
      <c r="D22" s="663"/>
      <c r="E22" s="663"/>
      <c r="F22" s="463"/>
      <c r="G22" s="216"/>
      <c r="I22" s="65" t="b">
        <v>0</v>
      </c>
      <c r="J22" s="65" t="b">
        <v>0</v>
      </c>
      <c r="K22" s="64" t="str">
        <f>IF(AND(J22=TRUE,I22=FALSE),"17","")</f>
        <v/>
      </c>
      <c r="L22" s="417"/>
      <c r="M22" s="416"/>
    </row>
    <row r="23" spans="1:13" s="64" customFormat="1" ht="40.5" customHeight="1" x14ac:dyDescent="0.55000000000000004">
      <c r="A23" s="63"/>
      <c r="B23" s="164"/>
      <c r="C23" s="462"/>
      <c r="D23" s="663"/>
      <c r="E23" s="663"/>
      <c r="F23" s="463"/>
      <c r="G23" s="216"/>
      <c r="I23" s="65" t="b">
        <v>0</v>
      </c>
      <c r="J23" s="65" t="b">
        <v>0</v>
      </c>
      <c r="K23" s="64" t="str">
        <f>IF(AND(J23=TRUE,I23=FALSE),"18","")</f>
        <v/>
      </c>
      <c r="L23" s="417"/>
      <c r="M23" s="416"/>
    </row>
    <row r="24" spans="1:13" s="139" customFormat="1" x14ac:dyDescent="0.55000000000000004">
      <c r="A24" s="138"/>
      <c r="B24" s="72"/>
      <c r="C24" s="174"/>
      <c r="D24" s="174"/>
      <c r="E24" s="174"/>
      <c r="F24" s="174"/>
      <c r="G24" s="175"/>
      <c r="I24" s="140">
        <f>COUNTIF(I6:I23,TRUE)</f>
        <v>12</v>
      </c>
      <c r="J24" s="140">
        <f>COUNTIF(J6:J23,TRUE)</f>
        <v>12</v>
      </c>
    </row>
    <row r="25" spans="1:13" s="139" customFormat="1" x14ac:dyDescent="0.55000000000000004">
      <c r="A25" s="138"/>
      <c r="C25" s="161" t="s">
        <v>143</v>
      </c>
      <c r="D25" s="251">
        <f>I24</f>
        <v>12</v>
      </c>
      <c r="E25" s="75" t="s">
        <v>442</v>
      </c>
      <c r="F25" s="658" t="str">
        <f>"ข้อ "&amp;K5&amp;" "&amp;K6&amp;" "&amp;K7&amp;" "&amp;K8&amp;" "&amp;K9&amp;" "&amp;K10&amp;" "&amp;K11&amp;" "&amp;K12&amp;" "&amp;K13&amp;" "&amp;K14&amp;" "&amp;K15&amp;" "&amp;K16&amp;" "&amp;K17&amp;" "&amp;K18&amp;" "&amp;K19&amp;" "&amp;K20&amp;" "&amp;K21&amp;" "&amp;K22&amp;" "&amp;K23</f>
        <v xml:space="preserve">ข้อ                   </v>
      </c>
      <c r="G25" s="659"/>
      <c r="I25" s="140"/>
      <c r="J25" s="140"/>
    </row>
    <row r="26" spans="1:13" s="139" customFormat="1" x14ac:dyDescent="0.55000000000000004">
      <c r="A26" s="138"/>
      <c r="C26" s="72" t="s">
        <v>187</v>
      </c>
      <c r="D26" s="73">
        <f>J24</f>
        <v>12</v>
      </c>
      <c r="E26" s="267" t="str">
        <f>IF(D26&lt;D25,"&lt;-- ตรวจสอบข้อมูล เนื่องจากข้อที่ต้องดำเนินการน้อยกว่าข้อที่ผ่าน","")</f>
        <v/>
      </c>
      <c r="F26" s="161"/>
      <c r="G26" s="175"/>
      <c r="I26" s="140"/>
      <c r="J26" s="140"/>
    </row>
    <row r="27" spans="1:13" s="139" customFormat="1" ht="21" customHeight="1" x14ac:dyDescent="0.55000000000000004">
      <c r="A27" s="138"/>
      <c r="B27" s="72"/>
      <c r="C27" s="174"/>
      <c r="D27" s="174"/>
      <c r="E27" s="174"/>
      <c r="F27" s="174"/>
      <c r="G27" s="175"/>
      <c r="I27" s="140"/>
      <c r="J27" s="140"/>
      <c r="K27" s="139" t="s">
        <v>463</v>
      </c>
    </row>
    <row r="28" spans="1:13" s="139" customFormat="1" x14ac:dyDescent="0.55000000000000004">
      <c r="A28" s="138"/>
      <c r="B28" s="72"/>
      <c r="C28" s="191"/>
      <c r="D28" s="191"/>
      <c r="E28" s="191"/>
      <c r="F28" s="191"/>
      <c r="G28" s="192"/>
      <c r="I28" s="140"/>
      <c r="J28" s="140"/>
    </row>
    <row r="29" spans="1:13" s="139" customFormat="1" x14ac:dyDescent="0.55000000000000004">
      <c r="A29" s="138"/>
      <c r="B29" s="72"/>
      <c r="C29" s="191"/>
      <c r="D29" s="191"/>
      <c r="E29" s="191"/>
      <c r="F29" s="191"/>
      <c r="G29" s="192"/>
      <c r="I29" s="140"/>
      <c r="J29" s="140"/>
    </row>
    <row r="30" spans="1:13" s="139" customFormat="1" x14ac:dyDescent="0.55000000000000004">
      <c r="A30" s="138"/>
      <c r="B30" s="72"/>
      <c r="C30" s="191"/>
      <c r="D30" s="191"/>
      <c r="E30" s="191"/>
      <c r="F30" s="191"/>
      <c r="G30" s="192"/>
      <c r="I30" s="140"/>
      <c r="J30" s="140"/>
    </row>
    <row r="31" spans="1:13" s="139" customFormat="1" x14ac:dyDescent="0.55000000000000004">
      <c r="A31" s="138"/>
      <c r="B31" s="72"/>
      <c r="C31" s="191"/>
      <c r="D31" s="191"/>
      <c r="E31" s="191"/>
      <c r="F31" s="191"/>
      <c r="G31" s="192"/>
      <c r="I31" s="140"/>
      <c r="J31" s="140"/>
    </row>
    <row r="32" spans="1:13" s="64" customFormat="1" x14ac:dyDescent="0.55000000000000004">
      <c r="A32" s="63"/>
      <c r="B32" s="316" t="s">
        <v>28</v>
      </c>
      <c r="C32" s="31"/>
      <c r="D32" s="31"/>
      <c r="E32" s="31"/>
      <c r="F32" s="31"/>
      <c r="G32" s="301"/>
      <c r="I32" s="66"/>
      <c r="J32" s="66"/>
    </row>
    <row r="33" spans="1:10" s="64" customFormat="1" x14ac:dyDescent="0.55000000000000004">
      <c r="A33" s="63"/>
      <c r="B33" s="469"/>
      <c r="C33" s="469"/>
      <c r="D33" s="469"/>
      <c r="E33" s="469"/>
      <c r="F33" s="469"/>
      <c r="G33" s="471"/>
      <c r="I33" s="66"/>
      <c r="J33" s="66"/>
    </row>
    <row r="34" spans="1:10" s="64" customFormat="1" x14ac:dyDescent="0.55000000000000004">
      <c r="A34" s="63"/>
      <c r="B34" s="469"/>
      <c r="C34" s="469"/>
      <c r="D34" s="469"/>
      <c r="E34" s="469"/>
      <c r="F34" s="469"/>
      <c r="G34" s="471"/>
      <c r="I34" s="66"/>
      <c r="J34" s="66"/>
    </row>
    <row r="35" spans="1:10" s="64" customFormat="1" x14ac:dyDescent="0.55000000000000004">
      <c r="A35" s="63"/>
      <c r="B35" s="469"/>
      <c r="C35" s="469"/>
      <c r="D35" s="469"/>
      <c r="E35" s="469"/>
      <c r="F35" s="469"/>
      <c r="G35" s="471"/>
      <c r="I35" s="66"/>
      <c r="J35" s="66"/>
    </row>
    <row r="36" spans="1:10" s="64" customFormat="1" x14ac:dyDescent="0.55000000000000004">
      <c r="A36" s="63"/>
      <c r="B36" s="469"/>
      <c r="C36" s="469"/>
      <c r="D36" s="469"/>
      <c r="E36" s="469"/>
      <c r="F36" s="469"/>
      <c r="G36" s="471"/>
      <c r="I36" s="66"/>
      <c r="J36" s="66"/>
    </row>
    <row r="37" spans="1:10" s="64" customFormat="1" x14ac:dyDescent="0.55000000000000004">
      <c r="A37" s="63"/>
      <c r="B37" s="469"/>
      <c r="C37" s="469"/>
      <c r="D37" s="469"/>
      <c r="E37" s="469"/>
      <c r="F37" s="469"/>
      <c r="G37" s="471"/>
      <c r="I37" s="66"/>
      <c r="J37" s="66"/>
    </row>
    <row r="38" spans="1:10" s="64" customFormat="1" x14ac:dyDescent="0.55000000000000004">
      <c r="A38" s="63"/>
      <c r="B38" s="316" t="s">
        <v>73</v>
      </c>
      <c r="C38" s="31"/>
      <c r="D38" s="31"/>
      <c r="E38" s="31"/>
      <c r="F38" s="31"/>
      <c r="G38" s="301"/>
      <c r="I38" s="66"/>
      <c r="J38" s="66"/>
    </row>
    <row r="39" spans="1:10" s="64" customFormat="1" x14ac:dyDescent="0.55000000000000004">
      <c r="A39" s="63"/>
      <c r="B39" s="469"/>
      <c r="C39" s="469"/>
      <c r="D39" s="469"/>
      <c r="E39" s="469"/>
      <c r="F39" s="469"/>
      <c r="G39" s="471"/>
      <c r="I39" s="66"/>
      <c r="J39" s="66"/>
    </row>
    <row r="40" spans="1:10" s="64" customFormat="1" x14ac:dyDescent="0.55000000000000004">
      <c r="A40" s="63"/>
      <c r="B40" s="469"/>
      <c r="C40" s="469"/>
      <c r="D40" s="469"/>
      <c r="E40" s="469"/>
      <c r="F40" s="469"/>
      <c r="G40" s="471"/>
      <c r="I40" s="66"/>
      <c r="J40" s="66"/>
    </row>
    <row r="41" spans="1:10" s="64" customFormat="1" x14ac:dyDescent="0.55000000000000004">
      <c r="A41" s="63"/>
      <c r="B41" s="469"/>
      <c r="C41" s="469"/>
      <c r="D41" s="469"/>
      <c r="E41" s="469"/>
      <c r="F41" s="469"/>
      <c r="G41" s="471"/>
      <c r="I41" s="66"/>
      <c r="J41" s="66"/>
    </row>
    <row r="42" spans="1:10" s="64" customFormat="1" x14ac:dyDescent="0.55000000000000004">
      <c r="A42" s="67"/>
      <c r="B42" s="531"/>
      <c r="C42" s="531"/>
      <c r="D42" s="531"/>
      <c r="E42" s="531"/>
      <c r="F42" s="531"/>
      <c r="G42" s="532"/>
      <c r="I42" s="65"/>
      <c r="J42" s="65"/>
    </row>
    <row r="43" spans="1:10" x14ac:dyDescent="0.55000000000000004">
      <c r="A43" s="35" t="s">
        <v>11</v>
      </c>
      <c r="B43" s="14"/>
      <c r="C43" s="26"/>
      <c r="D43" s="14"/>
      <c r="E43" s="14"/>
      <c r="F43" s="14"/>
      <c r="G43" s="14"/>
    </row>
    <row r="44" spans="1:10" ht="42" customHeight="1" x14ac:dyDescent="0.55000000000000004">
      <c r="A44" s="476" t="s">
        <v>12</v>
      </c>
      <c r="B44" s="476"/>
      <c r="C44" s="476"/>
      <c r="D44" s="173" t="s">
        <v>13</v>
      </c>
      <c r="E44" s="173" t="s">
        <v>14</v>
      </c>
      <c r="F44" s="173" t="s">
        <v>403</v>
      </c>
      <c r="G44" s="173" t="s">
        <v>404</v>
      </c>
    </row>
    <row r="45" spans="1:10" ht="42.75" customHeight="1" x14ac:dyDescent="0.55000000000000004">
      <c r="A45" s="477" t="s">
        <v>416</v>
      </c>
      <c r="B45" s="477"/>
      <c r="C45" s="477"/>
      <c r="D45" s="68">
        <v>90</v>
      </c>
      <c r="E45" s="177">
        <f>ROUND((D25/D26)*100,2)</f>
        <v>100</v>
      </c>
      <c r="F45" s="41">
        <f>IF(E45=100,5,IF(E45&gt;=95,4.75,IF(E45&gt;=90,4.5,IF(E45&gt;=80.01,4,IF(E45&gt;=80,3.5,0)))))</f>
        <v>5</v>
      </c>
      <c r="G45" s="176" t="str">
        <f>IF(E45&gt;=D45,"บรรลุ","ไม่บรรลุ")</f>
        <v>บรรลุ</v>
      </c>
    </row>
    <row r="46" spans="1:10" s="1" customFormat="1" x14ac:dyDescent="0.55000000000000004">
      <c r="A46" s="294"/>
      <c r="B46" s="294"/>
      <c r="C46" s="294"/>
      <c r="D46" s="294"/>
      <c r="E46" s="294"/>
      <c r="F46" s="294"/>
      <c r="G46" s="294"/>
      <c r="I46" s="3"/>
      <c r="J46" s="3"/>
    </row>
    <row r="47" spans="1:10" s="1" customFormat="1" x14ac:dyDescent="0.55000000000000004">
      <c r="A47" s="294"/>
      <c r="B47" s="294"/>
      <c r="C47" s="294"/>
      <c r="D47" s="420"/>
      <c r="E47" s="294"/>
      <c r="F47" s="294"/>
      <c r="G47" s="294"/>
      <c r="I47" s="3"/>
      <c r="J47" s="3"/>
    </row>
    <row r="48" spans="1:10" s="1" customFormat="1" x14ac:dyDescent="0.55000000000000004">
      <c r="A48" s="294"/>
      <c r="B48" s="294"/>
      <c r="C48" s="294"/>
      <c r="D48" s="294"/>
      <c r="E48" s="294"/>
      <c r="F48" s="294"/>
      <c r="G48" s="294"/>
      <c r="I48" s="3"/>
      <c r="J48" s="3"/>
    </row>
    <row r="49" spans="1:7" x14ac:dyDescent="0.55000000000000004">
      <c r="A49" s="51"/>
      <c r="B49" s="51"/>
      <c r="C49" s="51"/>
      <c r="D49" s="51"/>
      <c r="E49" s="51"/>
      <c r="F49" s="51"/>
      <c r="G49" s="51"/>
    </row>
    <row r="50" spans="1:7" x14ac:dyDescent="0.55000000000000004">
      <c r="A50" s="51"/>
      <c r="B50" s="51"/>
      <c r="C50" s="51"/>
      <c r="D50" s="51"/>
      <c r="E50" s="51"/>
      <c r="F50" s="51"/>
      <c r="G50" s="51"/>
    </row>
    <row r="51" spans="1:7" x14ac:dyDescent="0.55000000000000004">
      <c r="A51" s="51"/>
      <c r="B51" s="51"/>
      <c r="C51" s="51"/>
      <c r="D51" s="51"/>
      <c r="E51" s="51"/>
      <c r="F51" s="51"/>
      <c r="G51" s="51"/>
    </row>
  </sheetData>
  <sheetProtection sheet="1" objects="1" scenarios="1" formatCells="0" formatRows="0" insertRows="0" deleteRows="0"/>
  <mergeCells count="32">
    <mergeCell ref="F25:G25"/>
    <mergeCell ref="B2:G2"/>
    <mergeCell ref="A44:C44"/>
    <mergeCell ref="A45:C45"/>
    <mergeCell ref="B39:G39"/>
    <mergeCell ref="B40:G40"/>
    <mergeCell ref="B41:G41"/>
    <mergeCell ref="B42:G42"/>
    <mergeCell ref="B33:G33"/>
    <mergeCell ref="B34:G34"/>
    <mergeCell ref="B35:G35"/>
    <mergeCell ref="B36:G36"/>
    <mergeCell ref="B37:G37"/>
    <mergeCell ref="C6:F6"/>
    <mergeCell ref="B5:F5"/>
    <mergeCell ref="C7:F7"/>
    <mergeCell ref="C8:F8"/>
    <mergeCell ref="C9:F9"/>
    <mergeCell ref="C15:F15"/>
    <mergeCell ref="C16:F16"/>
    <mergeCell ref="C17:F17"/>
    <mergeCell ref="C10:F10"/>
    <mergeCell ref="C11:F11"/>
    <mergeCell ref="C12:F12"/>
    <mergeCell ref="C13:F13"/>
    <mergeCell ref="C14:F14"/>
    <mergeCell ref="C22:F22"/>
    <mergeCell ref="C23:F23"/>
    <mergeCell ref="C18:F18"/>
    <mergeCell ref="C19:F19"/>
    <mergeCell ref="C20:F20"/>
    <mergeCell ref="C21:F21"/>
  </mergeCells>
  <conditionalFormatting sqref="E26">
    <cfRule type="cellIs" dxfId="89" priority="1" operator="equal">
      <formula>$K$27</formula>
    </cfRule>
  </conditionalFormatting>
  <hyperlinks>
    <hyperlink ref="H3" location="ข้อมูลพื้นฐาน!A1" display="Main Menu"/>
    <hyperlink ref="H5" location="'หมวด5-6.1'!A1" display="Next &gt;&gt; ตัวบ่งชี้ที่ 6.1"/>
    <hyperlink ref="H4" location="'หมวด4-5.3'!A1" display="&lt;&lt; Previois ตัวบ่งชี้ที่ 5.3"/>
  </hyperlinks>
  <printOptions horizontalCentered="1"/>
  <pageMargins left="1.1023622047244095" right="0.70866141732283472" top="0.94488188976377963" bottom="0.74803149606299213" header="0.31496062992125984" footer="0.31496062992125984"/>
  <pageSetup paperSize="9" scale="93" orientation="portrait" blackAndWhite="1" r:id="rId1"/>
  <rowBreaks count="1" manualBreakCount="1">
    <brk id="31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5" r:id="rId4" name="Check Box 3">
              <controlPr defaultSize="0" autoFill="0" autoLine="0" autoPict="0">
                <anchor moveWithCells="1">
                  <from>
                    <xdr:col>1</xdr:col>
                    <xdr:colOff>123825</xdr:colOff>
                    <xdr:row>5</xdr:row>
                    <xdr:rowOff>28575</xdr:rowOff>
                  </from>
                  <to>
                    <xdr:col>1</xdr:col>
                    <xdr:colOff>600075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5" name="Check Box 5">
              <controlPr defaultSize="0" autoFill="0" autoLine="0" autoPict="0">
                <anchor moveWithCells="1">
                  <from>
                    <xdr:col>1</xdr:col>
                    <xdr:colOff>123825</xdr:colOff>
                    <xdr:row>5</xdr:row>
                    <xdr:rowOff>228600</xdr:rowOff>
                  </from>
                  <to>
                    <xdr:col>2</xdr:col>
                    <xdr:colOff>190500</xdr:colOff>
                    <xdr:row>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6" name="Check Box 6">
              <controlPr defaultSize="0" autoFill="0" autoLine="0" autoPict="0">
                <anchor moveWithCells="1">
                  <from>
                    <xdr:col>1</xdr:col>
                    <xdr:colOff>123825</xdr:colOff>
                    <xdr:row>6</xdr:row>
                    <xdr:rowOff>9525</xdr:rowOff>
                  </from>
                  <to>
                    <xdr:col>1</xdr:col>
                    <xdr:colOff>609600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7" name="Check Box 8">
              <controlPr defaultSize="0" autoFill="0" autoLine="0" autoPict="0">
                <anchor moveWithCells="1">
                  <from>
                    <xdr:col>1</xdr:col>
                    <xdr:colOff>123825</xdr:colOff>
                    <xdr:row>6</xdr:row>
                    <xdr:rowOff>209550</xdr:rowOff>
                  </from>
                  <to>
                    <xdr:col>2</xdr:col>
                    <xdr:colOff>190500</xdr:colOff>
                    <xdr:row>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8" name="Check Box 9">
              <controlPr defaultSize="0" autoFill="0" autoLine="0" autoPict="0">
                <anchor moveWithCells="1">
                  <from>
                    <xdr:col>1</xdr:col>
                    <xdr:colOff>123825</xdr:colOff>
                    <xdr:row>7</xdr:row>
                    <xdr:rowOff>19050</xdr:rowOff>
                  </from>
                  <to>
                    <xdr:col>1</xdr:col>
                    <xdr:colOff>638175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9" name="Check Box 11">
              <controlPr defaultSize="0" autoFill="0" autoLine="0" autoPict="0">
                <anchor moveWithCells="1">
                  <from>
                    <xdr:col>1</xdr:col>
                    <xdr:colOff>123825</xdr:colOff>
                    <xdr:row>7</xdr:row>
                    <xdr:rowOff>219075</xdr:rowOff>
                  </from>
                  <to>
                    <xdr:col>2</xdr:col>
                    <xdr:colOff>190500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0" name="Check Box 12">
              <controlPr defaultSize="0" autoFill="0" autoLine="0" autoPict="0">
                <anchor moveWithCells="1">
                  <from>
                    <xdr:col>1</xdr:col>
                    <xdr:colOff>123825</xdr:colOff>
                    <xdr:row>8</xdr:row>
                    <xdr:rowOff>19050</xdr:rowOff>
                  </from>
                  <to>
                    <xdr:col>1</xdr:col>
                    <xdr:colOff>619125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1" name="Check Box 14">
              <controlPr defaultSize="0" autoFill="0" autoLine="0" autoPict="0">
                <anchor moveWithCells="1">
                  <from>
                    <xdr:col>1</xdr:col>
                    <xdr:colOff>123825</xdr:colOff>
                    <xdr:row>8</xdr:row>
                    <xdr:rowOff>219075</xdr:rowOff>
                  </from>
                  <to>
                    <xdr:col>2</xdr:col>
                    <xdr:colOff>190500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2" name="Check Box 15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19050</xdr:rowOff>
                  </from>
                  <to>
                    <xdr:col>1</xdr:col>
                    <xdr:colOff>628650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13" name="Check Box 17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219075</xdr:rowOff>
                  </from>
                  <to>
                    <xdr:col>2</xdr:col>
                    <xdr:colOff>190500</xdr:colOff>
                    <xdr:row>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14" name="Check Box 18">
              <controlPr defaultSize="0" autoFill="0" autoLine="0" autoPict="0">
                <anchor moveWithCells="1">
                  <from>
                    <xdr:col>1</xdr:col>
                    <xdr:colOff>123825</xdr:colOff>
                    <xdr:row>10</xdr:row>
                    <xdr:rowOff>28575</xdr:rowOff>
                  </from>
                  <to>
                    <xdr:col>1</xdr:col>
                    <xdr:colOff>609600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15" name="Check Box 20">
              <controlPr defaultSize="0" autoFill="0" autoLine="0" autoPict="0">
                <anchor moveWithCells="1">
                  <from>
                    <xdr:col>1</xdr:col>
                    <xdr:colOff>123825</xdr:colOff>
                    <xdr:row>10</xdr:row>
                    <xdr:rowOff>228600</xdr:rowOff>
                  </from>
                  <to>
                    <xdr:col>2</xdr:col>
                    <xdr:colOff>190500</xdr:colOff>
                    <xdr:row>10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16" name="Check Box 21">
              <controlPr defaultSize="0" autoFill="0" autoLine="0" autoPict="0">
                <anchor moveWithCells="1">
                  <from>
                    <xdr:col>1</xdr:col>
                    <xdr:colOff>123825</xdr:colOff>
                    <xdr:row>11</xdr:row>
                    <xdr:rowOff>28575</xdr:rowOff>
                  </from>
                  <to>
                    <xdr:col>1</xdr:col>
                    <xdr:colOff>609600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17" name="Check Box 23">
              <controlPr defaultSize="0" autoFill="0" autoLine="0" autoPict="0">
                <anchor moveWithCells="1">
                  <from>
                    <xdr:col>1</xdr:col>
                    <xdr:colOff>123825</xdr:colOff>
                    <xdr:row>11</xdr:row>
                    <xdr:rowOff>228600</xdr:rowOff>
                  </from>
                  <to>
                    <xdr:col>2</xdr:col>
                    <xdr:colOff>190500</xdr:colOff>
                    <xdr:row>11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18" name="Check Box 24">
              <controlPr defaultSize="0" autoFill="0" autoLine="0" autoPict="0">
                <anchor moveWithCells="1">
                  <from>
                    <xdr:col>1</xdr:col>
                    <xdr:colOff>123825</xdr:colOff>
                    <xdr:row>12</xdr:row>
                    <xdr:rowOff>19050</xdr:rowOff>
                  </from>
                  <to>
                    <xdr:col>1</xdr:col>
                    <xdr:colOff>638175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19" name="Check Box 26">
              <controlPr defaultSize="0" autoFill="0" autoLine="0" autoPict="0">
                <anchor moveWithCells="1">
                  <from>
                    <xdr:col>1</xdr:col>
                    <xdr:colOff>123825</xdr:colOff>
                    <xdr:row>12</xdr:row>
                    <xdr:rowOff>219075</xdr:rowOff>
                  </from>
                  <to>
                    <xdr:col>2</xdr:col>
                    <xdr:colOff>190500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20" name="Check Box 27">
              <controlPr defaultSize="0" autoFill="0" autoLine="0" autoPict="0">
                <anchor moveWithCells="1">
                  <from>
                    <xdr:col>1</xdr:col>
                    <xdr:colOff>123825</xdr:colOff>
                    <xdr:row>13</xdr:row>
                    <xdr:rowOff>28575</xdr:rowOff>
                  </from>
                  <to>
                    <xdr:col>1</xdr:col>
                    <xdr:colOff>609600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21" name="Check Box 29">
              <controlPr defaultSize="0" autoFill="0" autoLine="0" autoPict="0">
                <anchor moveWithCells="1">
                  <from>
                    <xdr:col>1</xdr:col>
                    <xdr:colOff>123825</xdr:colOff>
                    <xdr:row>13</xdr:row>
                    <xdr:rowOff>228600</xdr:rowOff>
                  </from>
                  <to>
                    <xdr:col>2</xdr:col>
                    <xdr:colOff>190500</xdr:colOff>
                    <xdr:row>13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22" name="Check Box 30">
              <controlPr defaultSize="0" autoFill="0" autoLine="0" autoPict="0">
                <anchor moveWithCells="1">
                  <from>
                    <xdr:col>1</xdr:col>
                    <xdr:colOff>123825</xdr:colOff>
                    <xdr:row>14</xdr:row>
                    <xdr:rowOff>19050</xdr:rowOff>
                  </from>
                  <to>
                    <xdr:col>1</xdr:col>
                    <xdr:colOff>619125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23" name="Check Box 32">
              <controlPr defaultSize="0" autoFill="0" autoLine="0" autoPict="0">
                <anchor moveWithCells="1">
                  <from>
                    <xdr:col>1</xdr:col>
                    <xdr:colOff>123825</xdr:colOff>
                    <xdr:row>14</xdr:row>
                    <xdr:rowOff>219075</xdr:rowOff>
                  </from>
                  <to>
                    <xdr:col>2</xdr:col>
                    <xdr:colOff>190500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24" name="Check Box 33">
              <controlPr defaultSize="0" autoFill="0" autoLine="0" autoPict="0">
                <anchor moveWithCells="1">
                  <from>
                    <xdr:col>1</xdr:col>
                    <xdr:colOff>123825</xdr:colOff>
                    <xdr:row>15</xdr:row>
                    <xdr:rowOff>19050</xdr:rowOff>
                  </from>
                  <to>
                    <xdr:col>1</xdr:col>
                    <xdr:colOff>628650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25" name="Check Box 35">
              <controlPr defaultSize="0" autoFill="0" autoLine="0" autoPict="0">
                <anchor moveWithCells="1">
                  <from>
                    <xdr:col>1</xdr:col>
                    <xdr:colOff>123825</xdr:colOff>
                    <xdr:row>15</xdr:row>
                    <xdr:rowOff>219075</xdr:rowOff>
                  </from>
                  <to>
                    <xdr:col>2</xdr:col>
                    <xdr:colOff>190500</xdr:colOff>
                    <xdr:row>15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26" name="Check Box 36">
              <controlPr defaultSize="0" autoFill="0" autoLine="0" autoPict="0">
                <anchor moveWithCells="1">
                  <from>
                    <xdr:col>1</xdr:col>
                    <xdr:colOff>123825</xdr:colOff>
                    <xdr:row>16</xdr:row>
                    <xdr:rowOff>28575</xdr:rowOff>
                  </from>
                  <to>
                    <xdr:col>1</xdr:col>
                    <xdr:colOff>609600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27" name="Check Box 38">
              <controlPr defaultSize="0" autoFill="0" autoLine="0" autoPict="0">
                <anchor moveWithCells="1">
                  <from>
                    <xdr:col>1</xdr:col>
                    <xdr:colOff>123825</xdr:colOff>
                    <xdr:row>16</xdr:row>
                    <xdr:rowOff>228600</xdr:rowOff>
                  </from>
                  <to>
                    <xdr:col>2</xdr:col>
                    <xdr:colOff>190500</xdr:colOff>
                    <xdr:row>16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28" name="Check Box 55">
              <controlPr defaultSize="0" autoFill="0" autoLine="0" autoPict="0">
                <anchor moveWithCells="1">
                  <from>
                    <xdr:col>1</xdr:col>
                    <xdr:colOff>123825</xdr:colOff>
                    <xdr:row>17</xdr:row>
                    <xdr:rowOff>28575</xdr:rowOff>
                  </from>
                  <to>
                    <xdr:col>1</xdr:col>
                    <xdr:colOff>609600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29" name="Check Box 56">
              <controlPr defaultSize="0" autoFill="0" autoLine="0" autoPict="0">
                <anchor moveWithCells="1">
                  <from>
                    <xdr:col>1</xdr:col>
                    <xdr:colOff>123825</xdr:colOff>
                    <xdr:row>17</xdr:row>
                    <xdr:rowOff>228600</xdr:rowOff>
                  </from>
                  <to>
                    <xdr:col>2</xdr:col>
                    <xdr:colOff>190500</xdr:colOff>
                    <xdr:row>17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30" name="Check Box 58">
              <controlPr defaultSize="0" autoFill="0" autoLine="0" autoPict="0">
                <anchor moveWithCells="1">
                  <from>
                    <xdr:col>1</xdr:col>
                    <xdr:colOff>123825</xdr:colOff>
                    <xdr:row>18</xdr:row>
                    <xdr:rowOff>219075</xdr:rowOff>
                  </from>
                  <to>
                    <xdr:col>2</xdr:col>
                    <xdr:colOff>190500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31" name="Check Box 59">
              <controlPr defaultSize="0" autoFill="0" autoLine="0" autoPict="0">
                <anchor moveWithCells="1">
                  <from>
                    <xdr:col>1</xdr:col>
                    <xdr:colOff>123825</xdr:colOff>
                    <xdr:row>18</xdr:row>
                    <xdr:rowOff>28575</xdr:rowOff>
                  </from>
                  <to>
                    <xdr:col>1</xdr:col>
                    <xdr:colOff>609600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32" name="Check Box 61">
              <controlPr defaultSize="0" autoFill="0" autoLine="0" autoPict="0">
                <anchor moveWithCells="1">
                  <from>
                    <xdr:col>1</xdr:col>
                    <xdr:colOff>123825</xdr:colOff>
                    <xdr:row>19</xdr:row>
                    <xdr:rowOff>28575</xdr:rowOff>
                  </from>
                  <to>
                    <xdr:col>1</xdr:col>
                    <xdr:colOff>609600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33" name="Check Box 62">
              <controlPr defaultSize="0" autoFill="0" autoLine="0" autoPict="0">
                <anchor moveWithCells="1">
                  <from>
                    <xdr:col>1</xdr:col>
                    <xdr:colOff>123825</xdr:colOff>
                    <xdr:row>20</xdr:row>
                    <xdr:rowOff>28575</xdr:rowOff>
                  </from>
                  <to>
                    <xdr:col>1</xdr:col>
                    <xdr:colOff>609600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34" name="Check Box 63">
              <controlPr defaultSize="0" autoFill="0" autoLine="0" autoPict="0">
                <anchor moveWithCells="1">
                  <from>
                    <xdr:col>1</xdr:col>
                    <xdr:colOff>123825</xdr:colOff>
                    <xdr:row>19</xdr:row>
                    <xdr:rowOff>219075</xdr:rowOff>
                  </from>
                  <to>
                    <xdr:col>2</xdr:col>
                    <xdr:colOff>190500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35" name="Check Box 64">
              <controlPr defaultSize="0" autoFill="0" autoLine="0" autoPict="0">
                <anchor moveWithCells="1">
                  <from>
                    <xdr:col>1</xdr:col>
                    <xdr:colOff>123825</xdr:colOff>
                    <xdr:row>20</xdr:row>
                    <xdr:rowOff>219075</xdr:rowOff>
                  </from>
                  <to>
                    <xdr:col>2</xdr:col>
                    <xdr:colOff>190500</xdr:colOff>
                    <xdr:row>20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36" name="Check Box 66">
              <controlPr defaultSize="0" autoFill="0" autoLine="0" autoPict="0">
                <anchor moveWithCells="1">
                  <from>
                    <xdr:col>1</xdr:col>
                    <xdr:colOff>123825</xdr:colOff>
                    <xdr:row>21</xdr:row>
                    <xdr:rowOff>219075</xdr:rowOff>
                  </from>
                  <to>
                    <xdr:col>2</xdr:col>
                    <xdr:colOff>190500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37" name="Check Box 67">
              <controlPr defaultSize="0" autoFill="0" autoLine="0" autoPict="0">
                <anchor moveWithCells="1">
                  <from>
                    <xdr:col>1</xdr:col>
                    <xdr:colOff>123825</xdr:colOff>
                    <xdr:row>22</xdr:row>
                    <xdr:rowOff>219075</xdr:rowOff>
                  </from>
                  <to>
                    <xdr:col>2</xdr:col>
                    <xdr:colOff>190500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38" name="Check Box 68">
              <controlPr defaultSize="0" autoFill="0" autoLine="0" autoPict="0">
                <anchor moveWithCells="1">
                  <from>
                    <xdr:col>1</xdr:col>
                    <xdr:colOff>123825</xdr:colOff>
                    <xdr:row>21</xdr:row>
                    <xdr:rowOff>28575</xdr:rowOff>
                  </from>
                  <to>
                    <xdr:col>1</xdr:col>
                    <xdr:colOff>609600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39" name="Check Box 69">
              <controlPr defaultSize="0" autoFill="0" autoLine="0" autoPict="0">
                <anchor moveWithCells="1">
                  <from>
                    <xdr:col>1</xdr:col>
                    <xdr:colOff>123825</xdr:colOff>
                    <xdr:row>22</xdr:row>
                    <xdr:rowOff>28575</xdr:rowOff>
                  </from>
                  <to>
                    <xdr:col>1</xdr:col>
                    <xdr:colOff>609600</xdr:colOff>
                    <xdr:row>22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theme="6" tint="0.79998168889431442"/>
  </sheetPr>
  <dimension ref="A1:J32"/>
  <sheetViews>
    <sheetView showGridLines="0" zoomScale="115" zoomScaleNormal="115" zoomScaleSheetLayoutView="115" workbookViewId="0">
      <selection activeCell="B5" sqref="B5:G5"/>
    </sheetView>
  </sheetViews>
  <sheetFormatPr defaultRowHeight="24" x14ac:dyDescent="0.55000000000000004"/>
  <cols>
    <col min="1" max="1" width="6" style="2" customWidth="1"/>
    <col min="2" max="2" width="9" style="2"/>
    <col min="3" max="3" width="17.75" style="2" customWidth="1"/>
    <col min="4" max="6" width="11.625" style="2" customWidth="1"/>
    <col min="7" max="7" width="12" style="2" customWidth="1"/>
    <col min="8" max="8" width="20.875" style="2" bestFit="1" customWidth="1"/>
    <col min="9" max="9" width="9" style="6" hidden="1" customWidth="1"/>
    <col min="10" max="16384" width="9" style="2"/>
  </cols>
  <sheetData>
    <row r="1" spans="1:9" ht="27" x14ac:dyDescent="0.55000000000000004">
      <c r="A1" s="592" t="s">
        <v>144</v>
      </c>
      <c r="B1" s="592"/>
      <c r="C1" s="592"/>
      <c r="D1" s="592"/>
      <c r="E1" s="592"/>
      <c r="F1" s="592"/>
      <c r="G1" s="592"/>
    </row>
    <row r="2" spans="1:9" x14ac:dyDescent="0.55000000000000004">
      <c r="A2" s="37" t="s">
        <v>145</v>
      </c>
    </row>
    <row r="3" spans="1:9" x14ac:dyDescent="0.55000000000000004">
      <c r="A3" s="89" t="s">
        <v>12</v>
      </c>
      <c r="B3" s="472" t="s">
        <v>23</v>
      </c>
      <c r="C3" s="472"/>
      <c r="D3" s="472"/>
      <c r="E3" s="472"/>
      <c r="F3" s="472"/>
      <c r="G3" s="472"/>
      <c r="H3" s="181" t="s">
        <v>346</v>
      </c>
    </row>
    <row r="4" spans="1:9" x14ac:dyDescent="0.55000000000000004">
      <c r="A4" s="38">
        <v>6.1</v>
      </c>
      <c r="B4" s="39" t="s">
        <v>146</v>
      </c>
      <c r="C4" s="14"/>
      <c r="D4" s="14"/>
      <c r="E4" s="14"/>
      <c r="F4" s="14"/>
      <c r="G4" s="15"/>
      <c r="H4" s="182" t="s">
        <v>395</v>
      </c>
    </row>
    <row r="5" spans="1:9" x14ac:dyDescent="0.55000000000000004">
      <c r="A5" s="17"/>
      <c r="B5" s="524" t="s">
        <v>149</v>
      </c>
      <c r="C5" s="665"/>
      <c r="D5" s="665"/>
      <c r="E5" s="665"/>
      <c r="F5" s="665"/>
      <c r="G5" s="526"/>
      <c r="H5" s="183" t="s">
        <v>396</v>
      </c>
    </row>
    <row r="6" spans="1:9" x14ac:dyDescent="0.55000000000000004">
      <c r="A6" s="17"/>
      <c r="B6" s="74" t="s">
        <v>148</v>
      </c>
      <c r="C6" s="75"/>
      <c r="D6" s="75"/>
      <c r="E6" s="75"/>
      <c r="F6" s="75"/>
      <c r="G6" s="76"/>
    </row>
    <row r="7" spans="1:9" x14ac:dyDescent="0.55000000000000004">
      <c r="A7" s="17"/>
      <c r="B7" s="524" t="s">
        <v>147</v>
      </c>
      <c r="C7" s="665"/>
      <c r="D7" s="665"/>
      <c r="E7" s="665"/>
      <c r="F7" s="665"/>
      <c r="G7" s="526"/>
    </row>
    <row r="8" spans="1:9" x14ac:dyDescent="0.55000000000000004">
      <c r="A8" s="17"/>
      <c r="B8" s="40"/>
      <c r="C8" s="14"/>
      <c r="D8" s="14"/>
      <c r="E8" s="14"/>
      <c r="F8" s="14"/>
      <c r="G8" s="15"/>
    </row>
    <row r="9" spans="1:9" x14ac:dyDescent="0.55000000000000004">
      <c r="A9" s="17"/>
      <c r="B9" s="13" t="s">
        <v>28</v>
      </c>
      <c r="C9" s="14"/>
      <c r="D9" s="14"/>
      <c r="E9" s="14"/>
      <c r="F9" s="14"/>
      <c r="G9" s="15"/>
    </row>
    <row r="10" spans="1:9" s="1" customFormat="1" x14ac:dyDescent="0.55000000000000004">
      <c r="A10" s="32"/>
      <c r="B10" s="470"/>
      <c r="C10" s="469"/>
      <c r="D10" s="469"/>
      <c r="E10" s="469"/>
      <c r="F10" s="469"/>
      <c r="G10" s="471"/>
      <c r="I10" s="3"/>
    </row>
    <row r="11" spans="1:9" s="1" customFormat="1" x14ac:dyDescent="0.55000000000000004">
      <c r="A11" s="32"/>
      <c r="B11" s="470"/>
      <c r="C11" s="469"/>
      <c r="D11" s="469"/>
      <c r="E11" s="469"/>
      <c r="F11" s="469"/>
      <c r="G11" s="471"/>
      <c r="I11" s="3"/>
    </row>
    <row r="12" spans="1:9" s="1" customFormat="1" x14ac:dyDescent="0.55000000000000004">
      <c r="A12" s="32"/>
      <c r="B12" s="470"/>
      <c r="C12" s="469"/>
      <c r="D12" s="469"/>
      <c r="E12" s="469"/>
      <c r="F12" s="469"/>
      <c r="G12" s="471"/>
      <c r="I12" s="3"/>
    </row>
    <row r="13" spans="1:9" s="1" customFormat="1" x14ac:dyDescent="0.55000000000000004">
      <c r="A13" s="32"/>
      <c r="B13" s="470"/>
      <c r="C13" s="469"/>
      <c r="D13" s="469"/>
      <c r="E13" s="469"/>
      <c r="F13" s="469"/>
      <c r="G13" s="471"/>
      <c r="I13" s="3"/>
    </row>
    <row r="14" spans="1:9" s="1" customFormat="1" x14ac:dyDescent="0.55000000000000004">
      <c r="A14" s="32"/>
      <c r="B14" s="470"/>
      <c r="C14" s="469"/>
      <c r="D14" s="469"/>
      <c r="E14" s="469"/>
      <c r="F14" s="469"/>
      <c r="G14" s="471"/>
      <c r="I14" s="3"/>
    </row>
    <row r="15" spans="1:9" s="1" customFormat="1" x14ac:dyDescent="0.55000000000000004">
      <c r="A15" s="32"/>
      <c r="B15" s="305" t="s">
        <v>73</v>
      </c>
      <c r="C15" s="31"/>
      <c r="D15" s="31"/>
      <c r="E15" s="31"/>
      <c r="F15" s="31"/>
      <c r="G15" s="301"/>
      <c r="I15" s="3"/>
    </row>
    <row r="16" spans="1:9" s="1" customFormat="1" x14ac:dyDescent="0.55000000000000004">
      <c r="A16" s="32"/>
      <c r="B16" s="470"/>
      <c r="C16" s="469"/>
      <c r="D16" s="469"/>
      <c r="E16" s="469"/>
      <c r="F16" s="469"/>
      <c r="G16" s="471"/>
      <c r="I16" s="3"/>
    </row>
    <row r="17" spans="1:10" s="1" customFormat="1" x14ac:dyDescent="0.55000000000000004">
      <c r="A17" s="32"/>
      <c r="B17" s="470"/>
      <c r="C17" s="469"/>
      <c r="D17" s="469"/>
      <c r="E17" s="469"/>
      <c r="F17" s="469"/>
      <c r="G17" s="471"/>
      <c r="I17" s="3"/>
    </row>
    <row r="18" spans="1:10" s="1" customFormat="1" x14ac:dyDescent="0.55000000000000004">
      <c r="A18" s="32"/>
      <c r="B18" s="470"/>
      <c r="C18" s="469"/>
      <c r="D18" s="469"/>
      <c r="E18" s="469"/>
      <c r="F18" s="469"/>
      <c r="G18" s="471"/>
      <c r="I18" s="3"/>
    </row>
    <row r="19" spans="1:10" s="1" customFormat="1" x14ac:dyDescent="0.55000000000000004">
      <c r="A19" s="32"/>
      <c r="B19" s="470"/>
      <c r="C19" s="469"/>
      <c r="D19" s="469"/>
      <c r="E19" s="469"/>
      <c r="F19" s="469"/>
      <c r="G19" s="471"/>
      <c r="I19" s="3"/>
    </row>
    <row r="20" spans="1:10" s="1" customFormat="1" x14ac:dyDescent="0.55000000000000004">
      <c r="A20" s="32"/>
      <c r="B20" s="305" t="s">
        <v>125</v>
      </c>
      <c r="C20" s="31"/>
      <c r="D20" s="31"/>
      <c r="E20" s="31"/>
      <c r="F20" s="31"/>
      <c r="G20" s="301"/>
      <c r="I20" s="3"/>
    </row>
    <row r="21" spans="1:10" s="1" customFormat="1" x14ac:dyDescent="0.55000000000000004">
      <c r="A21" s="32"/>
      <c r="B21" s="470"/>
      <c r="C21" s="469"/>
      <c r="D21" s="469"/>
      <c r="E21" s="469"/>
      <c r="F21" s="469"/>
      <c r="G21" s="471"/>
      <c r="I21" s="3"/>
    </row>
    <row r="22" spans="1:10" s="1" customFormat="1" x14ac:dyDescent="0.55000000000000004">
      <c r="A22" s="32"/>
      <c r="B22" s="470"/>
      <c r="C22" s="469"/>
      <c r="D22" s="469"/>
      <c r="E22" s="469"/>
      <c r="F22" s="469"/>
      <c r="G22" s="471"/>
      <c r="I22" s="3"/>
    </row>
    <row r="23" spans="1:10" s="1" customFormat="1" x14ac:dyDescent="0.55000000000000004">
      <c r="A23" s="34"/>
      <c r="B23" s="473"/>
      <c r="C23" s="474"/>
      <c r="D23" s="474"/>
      <c r="E23" s="474"/>
      <c r="F23" s="474"/>
      <c r="G23" s="475"/>
      <c r="I23" s="3"/>
    </row>
    <row r="24" spans="1:10" x14ac:dyDescent="0.55000000000000004">
      <c r="A24" s="115" t="s">
        <v>11</v>
      </c>
      <c r="B24" s="51"/>
      <c r="C24" s="51"/>
      <c r="D24" s="51"/>
      <c r="E24" s="51"/>
      <c r="F24" s="51"/>
      <c r="G24" s="51"/>
    </row>
    <row r="25" spans="1:10" ht="43.5" x14ac:dyDescent="0.55000000000000004">
      <c r="A25" s="476" t="s">
        <v>12</v>
      </c>
      <c r="B25" s="476"/>
      <c r="C25" s="476"/>
      <c r="D25" s="121" t="s">
        <v>13</v>
      </c>
      <c r="E25" s="121" t="s">
        <v>14</v>
      </c>
      <c r="F25" s="121" t="s">
        <v>403</v>
      </c>
      <c r="G25" s="121" t="s">
        <v>16</v>
      </c>
      <c r="I25" s="6">
        <v>0</v>
      </c>
    </row>
    <row r="26" spans="1:10" ht="42.75" customHeight="1" x14ac:dyDescent="0.55000000000000004">
      <c r="A26" s="477" t="s">
        <v>417</v>
      </c>
      <c r="B26" s="477"/>
      <c r="C26" s="477"/>
      <c r="D26" s="228">
        <v>3</v>
      </c>
      <c r="E26" s="228">
        <v>3</v>
      </c>
      <c r="F26" s="41">
        <f>E26</f>
        <v>3</v>
      </c>
      <c r="G26" s="88" t="str">
        <f>IF(E26&gt;=D26,"บรรลุ","ไม่บรรลุ")</f>
        <v>บรรลุ</v>
      </c>
      <c r="I26" s="141">
        <v>1</v>
      </c>
      <c r="J26" s="5"/>
    </row>
    <row r="27" spans="1:10" s="1" customFormat="1" x14ac:dyDescent="0.55000000000000004">
      <c r="A27" s="294"/>
      <c r="B27" s="294"/>
      <c r="C27" s="294"/>
      <c r="D27" s="294"/>
      <c r="E27" s="294"/>
      <c r="F27" s="294"/>
      <c r="G27" s="294"/>
      <c r="I27" s="3">
        <v>2</v>
      </c>
      <c r="J27" s="160"/>
    </row>
    <row r="28" spans="1:10" s="1" customFormat="1" x14ac:dyDescent="0.55000000000000004">
      <c r="A28" s="294"/>
      <c r="B28" s="294"/>
      <c r="C28" s="294"/>
      <c r="D28" s="420"/>
      <c r="E28" s="294"/>
      <c r="F28" s="294"/>
      <c r="G28" s="294"/>
      <c r="I28" s="424">
        <v>3</v>
      </c>
      <c r="J28" s="160"/>
    </row>
    <row r="29" spans="1:10" s="1" customFormat="1" x14ac:dyDescent="0.55000000000000004">
      <c r="A29" s="294"/>
      <c r="B29" s="294"/>
      <c r="C29" s="294"/>
      <c r="D29" s="294"/>
      <c r="E29" s="294"/>
      <c r="F29" s="294"/>
      <c r="G29" s="294"/>
      <c r="I29" s="3">
        <v>4</v>
      </c>
      <c r="J29" s="160"/>
    </row>
    <row r="30" spans="1:10" x14ac:dyDescent="0.55000000000000004">
      <c r="A30" s="51"/>
      <c r="B30" s="51"/>
      <c r="C30" s="51"/>
      <c r="D30" s="51"/>
      <c r="E30" s="51"/>
      <c r="F30" s="51"/>
      <c r="G30" s="51"/>
      <c r="I30" s="141">
        <v>5</v>
      </c>
      <c r="J30" s="5"/>
    </row>
    <row r="31" spans="1:10" x14ac:dyDescent="0.55000000000000004">
      <c r="A31" s="51"/>
      <c r="B31" s="51"/>
      <c r="C31" s="51"/>
      <c r="D31" s="51"/>
      <c r="E31" s="51"/>
      <c r="F31" s="51"/>
      <c r="G31" s="51"/>
    </row>
    <row r="32" spans="1:10" x14ac:dyDescent="0.55000000000000004">
      <c r="A32" s="51"/>
      <c r="B32" s="51"/>
      <c r="C32" s="51"/>
      <c r="D32" s="51"/>
      <c r="E32" s="51"/>
      <c r="F32" s="51"/>
      <c r="G32" s="51"/>
    </row>
  </sheetData>
  <sheetProtection sheet="1" objects="1" scenarios="1" formatCells="0" formatRows="0" insertRows="0" deleteRows="0"/>
  <mergeCells count="18">
    <mergeCell ref="A1:G1"/>
    <mergeCell ref="B5:G5"/>
    <mergeCell ref="B14:G14"/>
    <mergeCell ref="B16:G16"/>
    <mergeCell ref="B17:G17"/>
    <mergeCell ref="B3:G3"/>
    <mergeCell ref="B7:G7"/>
    <mergeCell ref="B10:G10"/>
    <mergeCell ref="B11:G11"/>
    <mergeCell ref="B12:G12"/>
    <mergeCell ref="B13:G13"/>
    <mergeCell ref="B22:G22"/>
    <mergeCell ref="B23:G23"/>
    <mergeCell ref="A25:C25"/>
    <mergeCell ref="A26:C26"/>
    <mergeCell ref="B18:G18"/>
    <mergeCell ref="B19:G19"/>
    <mergeCell ref="B21:G21"/>
  </mergeCells>
  <dataValidations count="1">
    <dataValidation type="list" allowBlank="1" showInputMessage="1" showErrorMessage="1" sqref="D26:E26">
      <formula1>$I$25:$I$30</formula1>
    </dataValidation>
  </dataValidations>
  <hyperlinks>
    <hyperlink ref="H3" location="ข้อมูลพื้นฐาน!A1" display="Main Menu"/>
    <hyperlink ref="H5" location="ตารางสรุป!A1" display="Next &gt;&gt; ตารางสรุป"/>
    <hyperlink ref="H4" location="'หมวด4-5.4'!A1" display="&lt;&lt; Previois ตัวบ่งชี้ที่ 5.4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J52"/>
  <sheetViews>
    <sheetView zoomScale="115" zoomScaleNormal="115" zoomScaleSheetLayoutView="100" workbookViewId="0">
      <selection activeCell="A5" sqref="A5:A7"/>
    </sheetView>
  </sheetViews>
  <sheetFormatPr defaultRowHeight="27" x14ac:dyDescent="0.6"/>
  <cols>
    <col min="1" max="1" width="35.25" style="272" customWidth="1"/>
    <col min="2" max="2" width="10.625" style="272" customWidth="1"/>
    <col min="3" max="4" width="7.625" style="272" customWidth="1"/>
    <col min="5" max="5" width="8.375" style="272" customWidth="1"/>
    <col min="6" max="6" width="9" style="272"/>
    <col min="7" max="7" width="9.875" style="272" customWidth="1"/>
    <col min="8" max="8" width="23.625" style="317" bestFit="1" customWidth="1"/>
    <col min="9" max="9" width="5.25" style="272" hidden="1" customWidth="1"/>
    <col min="10" max="10" width="83.875" style="318" hidden="1" customWidth="1"/>
    <col min="11" max="16384" width="9" style="272"/>
  </cols>
  <sheetData>
    <row r="1" spans="1:10" ht="30" x14ac:dyDescent="0.6">
      <c r="A1" s="703" t="s">
        <v>190</v>
      </c>
      <c r="B1" s="703"/>
      <c r="C1" s="703"/>
      <c r="D1" s="703"/>
      <c r="E1" s="703"/>
      <c r="F1" s="703"/>
      <c r="G1" s="703"/>
    </row>
    <row r="2" spans="1:10" ht="30" x14ac:dyDescent="0.6">
      <c r="A2" s="703" t="s">
        <v>191</v>
      </c>
      <c r="B2" s="703"/>
      <c r="C2" s="703"/>
      <c r="D2" s="703"/>
      <c r="E2" s="703"/>
      <c r="F2" s="703"/>
      <c r="G2" s="703"/>
    </row>
    <row r="3" spans="1:10" ht="47.25" customHeight="1" x14ac:dyDescent="0.6">
      <c r="A3" s="704" t="str">
        <f>"หลักสูตร "&amp;ชื่อปริญญา&amp;" สาขาวิชา "&amp;ชื่อหลักสูตร&amp;" คณะ"&amp;คณะ</f>
        <v>หลักสูตร วิทยาศาสตรบัณฑิต สาขาวิชา อิเล็กทรอนิกส์สื่อสาร คณะเทคโนโลยีอุตสาหกรรม</v>
      </c>
      <c r="B3" s="704"/>
      <c r="C3" s="704"/>
      <c r="D3" s="704"/>
      <c r="E3" s="704"/>
      <c r="F3" s="704"/>
      <c r="G3" s="704"/>
    </row>
    <row r="4" spans="1:10" x14ac:dyDescent="0.55000000000000004">
      <c r="A4" s="319" t="str">
        <f>"2.1 ผลการประเมินรายตัวบ่งชี้ตามองค์ประกอบคุณภาพของหลักสูตร ปีการศึกษา "&amp;ปีประเมิน</f>
        <v>2.1 ผลการประเมินรายตัวบ่งชี้ตามองค์ประกอบคุณภาพของหลักสูตร ปีการศึกษา 2563</v>
      </c>
      <c r="B4" s="319"/>
      <c r="C4" s="319"/>
      <c r="D4" s="319"/>
      <c r="E4" s="319"/>
      <c r="F4" s="319"/>
      <c r="G4" s="319"/>
      <c r="H4" s="320" t="s">
        <v>346</v>
      </c>
      <c r="I4" s="319"/>
    </row>
    <row r="5" spans="1:10" x14ac:dyDescent="0.6">
      <c r="A5" s="689" t="s">
        <v>12</v>
      </c>
      <c r="B5" s="691" t="s">
        <v>197</v>
      </c>
      <c r="C5" s="689" t="s">
        <v>14</v>
      </c>
      <c r="D5" s="689"/>
      <c r="E5" s="690" t="s">
        <v>16</v>
      </c>
      <c r="F5" s="666" t="s">
        <v>334</v>
      </c>
      <c r="G5" s="700" t="s">
        <v>200</v>
      </c>
      <c r="H5" s="321" t="s">
        <v>397</v>
      </c>
    </row>
    <row r="6" spans="1:10" x14ac:dyDescent="0.55000000000000004">
      <c r="A6" s="689"/>
      <c r="B6" s="692"/>
      <c r="C6" s="322" t="s">
        <v>198</v>
      </c>
      <c r="D6" s="705" t="s">
        <v>332</v>
      </c>
      <c r="E6" s="690"/>
      <c r="F6" s="667"/>
      <c r="G6" s="700"/>
      <c r="H6" s="323" t="s">
        <v>398</v>
      </c>
    </row>
    <row r="7" spans="1:10" ht="30.75" customHeight="1" x14ac:dyDescent="0.6">
      <c r="A7" s="689"/>
      <c r="B7" s="693"/>
      <c r="C7" s="322" t="s">
        <v>199</v>
      </c>
      <c r="D7" s="706"/>
      <c r="E7" s="690"/>
      <c r="F7" s="668"/>
      <c r="G7" s="700"/>
    </row>
    <row r="8" spans="1:10" x14ac:dyDescent="0.6">
      <c r="A8" s="694" t="s">
        <v>201</v>
      </c>
      <c r="B8" s="695"/>
      <c r="C8" s="695"/>
      <c r="D8" s="695"/>
      <c r="E8" s="695"/>
      <c r="F8" s="695"/>
      <c r="G8" s="696"/>
    </row>
    <row r="9" spans="1:10" ht="43.5" x14ac:dyDescent="0.6">
      <c r="A9" s="324" t="s">
        <v>202</v>
      </c>
      <c r="B9" s="322" t="s">
        <v>18</v>
      </c>
      <c r="C9" s="689" t="str">
        <f>'หมวด1-1.1'!D23</f>
        <v>ผ่าน</v>
      </c>
      <c r="D9" s="689"/>
      <c r="E9" s="322" t="str">
        <f>'หมวด1-1.1'!F23</f>
        <v>บรรลุ</v>
      </c>
      <c r="F9" s="322" t="s">
        <v>333</v>
      </c>
      <c r="G9" s="184" t="str">
        <f>'หมวด1-1.1'!E23</f>
        <v>ผ่าน</v>
      </c>
    </row>
    <row r="10" spans="1:10" x14ac:dyDescent="0.6">
      <c r="A10" s="697" t="s">
        <v>204</v>
      </c>
      <c r="B10" s="698"/>
      <c r="C10" s="699"/>
      <c r="D10" s="689" t="str">
        <f>IF(G9="ผ่าน","หลักสูตรได้มาตรฐาน","หลักสูตรไม่ได้มาตรฐาน")</f>
        <v>หลักสูตรได้มาตรฐาน</v>
      </c>
      <c r="E10" s="689"/>
      <c r="F10" s="689"/>
      <c r="G10" s="689"/>
    </row>
    <row r="11" spans="1:10" s="326" customFormat="1" ht="34.5" customHeight="1" x14ac:dyDescent="0.6">
      <c r="A11" s="684" t="s">
        <v>90</v>
      </c>
      <c r="B11" s="685"/>
      <c r="C11" s="685"/>
      <c r="D11" s="685"/>
      <c r="E11" s="685"/>
      <c r="F11" s="685"/>
      <c r="G11" s="686"/>
      <c r="H11" s="325"/>
      <c r="J11" s="327"/>
    </row>
    <row r="12" spans="1:10" x14ac:dyDescent="0.6">
      <c r="A12" s="466" t="s">
        <v>203</v>
      </c>
      <c r="B12" s="683">
        <f>'หมวด3-2.1'!F30</f>
        <v>4</v>
      </c>
      <c r="C12" s="328">
        <f>'หมวด3-2.1'!I10*'หมวด3-2.1'!I9</f>
        <v>26.099999999999998</v>
      </c>
      <c r="D12" s="681">
        <f>'หมวด3-2.1'!H30</f>
        <v>4.3499999999999996</v>
      </c>
      <c r="E12" s="679" t="str">
        <f>'หมวด3-2.1'!I30</f>
        <v>บรรลุ</v>
      </c>
      <c r="F12" s="669" t="str">
        <f>IF('หมวด3-2.1'!$K$5=TRUE,"ประเมิน","ไม่ประเมิน")</f>
        <v>ประเมิน</v>
      </c>
      <c r="G12" s="680">
        <f>'หมวด3-2.1'!H30</f>
        <v>4.3499999999999996</v>
      </c>
    </row>
    <row r="13" spans="1:10" x14ac:dyDescent="0.6">
      <c r="A13" s="466"/>
      <c r="B13" s="683"/>
      <c r="C13" s="329">
        <f>'หมวด3-2.1'!I9</f>
        <v>6</v>
      </c>
      <c r="D13" s="682"/>
      <c r="E13" s="679"/>
      <c r="F13" s="670"/>
      <c r="G13" s="680"/>
      <c r="H13" s="330"/>
    </row>
    <row r="14" spans="1:10" ht="21" customHeight="1" x14ac:dyDescent="0.6">
      <c r="A14" s="687" t="str">
        <f>IF(OR(เกณฑ์=1,เกณฑ์=2),J14," ")</f>
        <v>ตัวบ่งชี้ที่ 2.2 ร้อยละบัณฑิตปริญญาตรีที่ได้งานทำ หรือประกอบอาชีพอิสระภายใน 1 ปี</v>
      </c>
      <c r="B14" s="678">
        <f>'หมวด3-2.2(ตรี)'!F40</f>
        <v>80</v>
      </c>
      <c r="C14" s="331">
        <f>'หมวด3-2.2(ตรี)'!E21</f>
        <v>9</v>
      </c>
      <c r="D14" s="332">
        <f>'หมวด3-2.2(ตรี)'!E26</f>
        <v>75</v>
      </c>
      <c r="E14" s="679" t="str">
        <f>'หมวด3-2.2(ตรี)'!I40</f>
        <v>ไม่บรรลุ</v>
      </c>
      <c r="F14" s="669" t="str">
        <f>IF('หมวด3-2.2(ตรี)'!K4=TRUE,"ประเมิน","ไม่ประเมิน")</f>
        <v>ประเมิน</v>
      </c>
      <c r="G14" s="680">
        <f>IF(OR(เกณฑ์=1,เกณฑ์=2),'หมวด3-2.2(ตรี)'!H40,"ไม่ประเมิน")</f>
        <v>3.75</v>
      </c>
      <c r="J14" s="333" t="s">
        <v>209</v>
      </c>
    </row>
    <row r="15" spans="1:10" x14ac:dyDescent="0.6">
      <c r="A15" s="688"/>
      <c r="B15" s="678"/>
      <c r="C15" s="329">
        <f>'หมวด3-2.2(ตรี)'!E22</f>
        <v>12</v>
      </c>
      <c r="D15" s="332">
        <f>'หมวด3-2.2(ตรี)'!E27</f>
        <v>100</v>
      </c>
      <c r="E15" s="679"/>
      <c r="F15" s="670"/>
      <c r="G15" s="680"/>
      <c r="J15" s="333"/>
    </row>
    <row r="16" spans="1:10" ht="30.75" customHeight="1" x14ac:dyDescent="0.6">
      <c r="A16" s="466" t="str">
        <f>IF(OR(เกณฑ์=3,เกณฑ์=4),J16," ")</f>
        <v xml:space="preserve"> </v>
      </c>
      <c r="B16" s="678">
        <f>'หมวด3-2.2(โท)'!K30</f>
        <v>20</v>
      </c>
      <c r="C16" s="334">
        <f>'หมวด3-2.2(โท)'!G8</f>
        <v>0</v>
      </c>
      <c r="D16" s="332">
        <f>'หมวด3-2.2(โท)'!G11</f>
        <v>0</v>
      </c>
      <c r="E16" s="679" t="str">
        <f>'หมวด3-2.2(โท)'!T30</f>
        <v>ไม่บรรลุ</v>
      </c>
      <c r="F16" s="671"/>
      <c r="G16" s="680" t="str">
        <f>IF(I16=TRUE,IF(OR(เกณฑ์=3,เกณฑ์=4),'หมวด3-2.2(โท)'!Q30,"ไม่ประเมิน"),"ไม่ประเมิน")</f>
        <v>ไม่ประเมิน</v>
      </c>
      <c r="I16" s="272" t="b">
        <v>1</v>
      </c>
      <c r="J16" s="318" t="s">
        <v>207</v>
      </c>
    </row>
    <row r="17" spans="1:10" ht="30.75" customHeight="1" x14ac:dyDescent="0.6">
      <c r="A17" s="466"/>
      <c r="B17" s="678"/>
      <c r="C17" s="334">
        <f>'หมวด3-2.2(โท)'!G9</f>
        <v>1</v>
      </c>
      <c r="D17" s="332">
        <f>'หมวด3-2.2(โท)'!G12</f>
        <v>40</v>
      </c>
      <c r="E17" s="679"/>
      <c r="F17" s="672"/>
      <c r="G17" s="680"/>
    </row>
    <row r="18" spans="1:10" ht="30.75" customHeight="1" x14ac:dyDescent="0.6">
      <c r="A18" s="466" t="str">
        <f>IF(OR(เกณฑ์=5,เกณฑ์=6),J18," ")</f>
        <v xml:space="preserve"> </v>
      </c>
      <c r="B18" s="678">
        <f>'หมวด3-2.2(เอก)'!K30</f>
        <v>20</v>
      </c>
      <c r="C18" s="334">
        <f>'หมวด3-2.2(เอก)'!G8</f>
        <v>0</v>
      </c>
      <c r="D18" s="332">
        <f>'หมวด3-2.2(เอก)'!G11</f>
        <v>0</v>
      </c>
      <c r="E18" s="679" t="str">
        <f>'หมวด3-2.2(เอก)'!T30</f>
        <v>ไม่บรรลุ</v>
      </c>
      <c r="F18" s="673"/>
      <c r="G18" s="680" t="str">
        <f>IF(I18=TRUE,IF(OR(เกณฑ์=5,เกณฑ์=6),'หมวด3-2.2(เอก)'!Q30,"ไม่ประเมิน"),"ไม่ประเมิน")</f>
        <v>ไม่ประเมิน</v>
      </c>
      <c r="I18" s="272" t="b">
        <v>1</v>
      </c>
      <c r="J18" s="318" t="s">
        <v>208</v>
      </c>
    </row>
    <row r="19" spans="1:10" ht="30.75" customHeight="1" x14ac:dyDescent="0.6">
      <c r="A19" s="466"/>
      <c r="B19" s="678"/>
      <c r="C19" s="334">
        <f>'หมวด3-2.2(เอก)'!G9</f>
        <v>1</v>
      </c>
      <c r="D19" s="332">
        <f>'หมวด3-2.2(เอก)'!G12</f>
        <v>80</v>
      </c>
      <c r="E19" s="679"/>
      <c r="F19" s="674"/>
      <c r="G19" s="680"/>
    </row>
    <row r="20" spans="1:10" x14ac:dyDescent="0.6">
      <c r="A20" s="697" t="s">
        <v>205</v>
      </c>
      <c r="B20" s="698"/>
      <c r="C20" s="698"/>
      <c r="D20" s="698"/>
      <c r="E20" s="699"/>
      <c r="F20" s="335" t="s">
        <v>206</v>
      </c>
      <c r="G20" s="185">
        <f>IF(AND(G12="ไม่ประเมิน",G14="ไม่ประเมิน"),"ไม่ประเมิน",IF(OR(เกณฑ์=1,เกณฑ์=2),AVERAGE(G12:G15),IF(OR(เกณฑ์=3,เกณฑ์=4),AVERAGE(G12,G16),IF(OR(เกณฑ์=5,เกณฑ์=6),AVERAGE(G12,G18)))))</f>
        <v>4.05</v>
      </c>
    </row>
    <row r="21" spans="1:10" s="326" customFormat="1" ht="34.5" customHeight="1" x14ac:dyDescent="0.6">
      <c r="A21" s="675" t="s">
        <v>107</v>
      </c>
      <c r="B21" s="676"/>
      <c r="C21" s="676"/>
      <c r="D21" s="676"/>
      <c r="E21" s="676"/>
      <c r="F21" s="676"/>
      <c r="G21" s="677"/>
      <c r="H21" s="325"/>
      <c r="J21" s="327"/>
    </row>
    <row r="22" spans="1:10" x14ac:dyDescent="0.6">
      <c r="A22" s="336" t="s">
        <v>210</v>
      </c>
      <c r="B22" s="337">
        <f>'หมวด3-3.1'!D24</f>
        <v>3</v>
      </c>
      <c r="C22" s="707">
        <f>'หมวด3-3.1'!E24</f>
        <v>3</v>
      </c>
      <c r="D22" s="707"/>
      <c r="E22" s="322" t="str">
        <f>'หมวด3-3.1'!G24</f>
        <v>บรรลุ</v>
      </c>
      <c r="F22" s="338"/>
      <c r="G22" s="229">
        <f>IF(I22=TRUE,'หมวด3-3.1'!F24,"ไม่ประเมิน")</f>
        <v>3</v>
      </c>
      <c r="I22" s="272" t="b">
        <v>1</v>
      </c>
    </row>
    <row r="23" spans="1:10" x14ac:dyDescent="0.6">
      <c r="A23" s="336" t="s">
        <v>211</v>
      </c>
      <c r="B23" s="337">
        <f>'หมวด3-3.2'!D24</f>
        <v>3</v>
      </c>
      <c r="C23" s="707">
        <f>'หมวด3-3.2'!E24</f>
        <v>3</v>
      </c>
      <c r="D23" s="707"/>
      <c r="E23" s="322" t="str">
        <f>'หมวด3-3.2'!G24</f>
        <v>บรรลุ</v>
      </c>
      <c r="F23" s="338"/>
      <c r="G23" s="229">
        <f>IF(I23=TRUE,'หมวด3-3.2'!F24,"ไม่ประเมิน")</f>
        <v>3</v>
      </c>
      <c r="I23" s="272" t="b">
        <v>1</v>
      </c>
    </row>
    <row r="24" spans="1:10" x14ac:dyDescent="0.6">
      <c r="A24" s="336" t="s">
        <v>212</v>
      </c>
      <c r="B24" s="337">
        <f>'หมวด3-3.3'!G74</f>
        <v>3</v>
      </c>
      <c r="C24" s="707">
        <f>'หมวด3-3.3'!K74</f>
        <v>3</v>
      </c>
      <c r="D24" s="707"/>
      <c r="E24" s="322" t="str">
        <f>'หมวด3-3.3'!P74</f>
        <v>บรรลุ</v>
      </c>
      <c r="F24" s="338"/>
      <c r="G24" s="229">
        <f>IF(I24=TRUE,'หมวด3-3.3'!N74,"ไม่ประเมิน")</f>
        <v>3</v>
      </c>
      <c r="I24" s="272" t="b">
        <v>1</v>
      </c>
    </row>
    <row r="25" spans="1:10" x14ac:dyDescent="0.6">
      <c r="A25" s="697" t="s">
        <v>213</v>
      </c>
      <c r="B25" s="698"/>
      <c r="C25" s="698"/>
      <c r="D25" s="698"/>
      <c r="E25" s="699"/>
      <c r="F25" s="339" t="s">
        <v>206</v>
      </c>
      <c r="G25" s="186">
        <f>IF(AND(G22="ไม่ประเมิน",G23="ไม่ประเมิน",G24="ไม่ประเมิน"),"ไม่ประเมิน",AVERAGE(G22:G24))</f>
        <v>3</v>
      </c>
    </row>
    <row r="26" spans="1:10" s="326" customFormat="1" ht="34.5" customHeight="1" x14ac:dyDescent="0.6">
      <c r="A26" s="711" t="s">
        <v>214</v>
      </c>
      <c r="B26" s="712"/>
      <c r="C26" s="712"/>
      <c r="D26" s="712"/>
      <c r="E26" s="712"/>
      <c r="F26" s="712"/>
      <c r="G26" s="713"/>
      <c r="H26" s="325"/>
      <c r="J26" s="327"/>
    </row>
    <row r="27" spans="1:10" x14ac:dyDescent="0.6">
      <c r="A27" s="336" t="s">
        <v>215</v>
      </c>
      <c r="B27" s="337">
        <f>'หมวด2-4.1'!D25</f>
        <v>3</v>
      </c>
      <c r="C27" s="707">
        <f>'หมวด2-4.1'!E25</f>
        <v>3</v>
      </c>
      <c r="D27" s="707"/>
      <c r="E27" s="322" t="str">
        <f>'หมวด2-4.1'!G25</f>
        <v>บรรลุ</v>
      </c>
      <c r="F27" s="338"/>
      <c r="G27" s="229">
        <f>IF(I27=TRUE,'หมวด2-4.1'!F25,"ไม่ประเมิน")</f>
        <v>3</v>
      </c>
      <c r="I27" s="272" t="b">
        <v>1</v>
      </c>
    </row>
    <row r="28" spans="1:10" x14ac:dyDescent="0.6">
      <c r="A28" s="336" t="s">
        <v>216</v>
      </c>
      <c r="B28" s="340">
        <f>'หมวด2-4.2'!K130</f>
        <v>3</v>
      </c>
      <c r="C28" s="714">
        <f>'หมวด2-4.2'!Q130</f>
        <v>1.39</v>
      </c>
      <c r="D28" s="714"/>
      <c r="E28" s="322" t="str">
        <f>'หมวด2-4.2'!T130</f>
        <v>ไม่บรรลุ</v>
      </c>
      <c r="F28" s="341"/>
      <c r="G28" s="229">
        <f>IF(I28=TRUE,IF(OR(เกณฑ์=5,เกณฑ์=6),AVERAGE(G29:G36),AVERAGE(G29:G34)),"ไม่ประเมิน")</f>
        <v>1.39</v>
      </c>
      <c r="I28" s="272" t="b">
        <v>1</v>
      </c>
    </row>
    <row r="29" spans="1:10" x14ac:dyDescent="0.6">
      <c r="A29" s="466" t="s">
        <v>217</v>
      </c>
      <c r="B29" s="678">
        <f>'หมวด2-4.2'!K40</f>
        <v>20</v>
      </c>
      <c r="C29" s="329">
        <f>'หมวด2-4.2'!G17</f>
        <v>0</v>
      </c>
      <c r="D29" s="342">
        <f>'หมวด2-4.2'!G20</f>
        <v>0</v>
      </c>
      <c r="E29" s="679" t="str">
        <f>'หมวด2-4.2'!T40</f>
        <v>ไม่บรรลุ</v>
      </c>
      <c r="F29" s="669"/>
      <c r="G29" s="701">
        <f>'หมวด2-4.2'!Q40</f>
        <v>0</v>
      </c>
    </row>
    <row r="30" spans="1:10" x14ac:dyDescent="0.6">
      <c r="A30" s="466"/>
      <c r="B30" s="678"/>
      <c r="C30" s="329">
        <f>'หมวด2-4.2'!G18</f>
        <v>2</v>
      </c>
      <c r="D30" s="342">
        <f>'หมวด2-4.2'!G21</f>
        <v>20</v>
      </c>
      <c r="E30" s="679"/>
      <c r="F30" s="670"/>
      <c r="G30" s="702"/>
    </row>
    <row r="31" spans="1:10" x14ac:dyDescent="0.6">
      <c r="A31" s="466" t="s">
        <v>218</v>
      </c>
      <c r="B31" s="678">
        <f>'หมวด2-4.2'!K81</f>
        <v>20</v>
      </c>
      <c r="C31" s="329">
        <f>'หมวด2-4.2'!G57</f>
        <v>1</v>
      </c>
      <c r="D31" s="342">
        <f>'หมวด2-4.2'!G60</f>
        <v>50</v>
      </c>
      <c r="E31" s="679" t="str">
        <f>'หมวด2-4.2'!T127</f>
        <v>ไม่บรรลุ</v>
      </c>
      <c r="F31" s="669"/>
      <c r="G31" s="701">
        <f>'หมวด2-4.2'!Q81</f>
        <v>4.17</v>
      </c>
    </row>
    <row r="32" spans="1:10" x14ac:dyDescent="0.6">
      <c r="A32" s="466"/>
      <c r="B32" s="678"/>
      <c r="C32" s="329">
        <f>'หมวด2-4.2'!G58</f>
        <v>2</v>
      </c>
      <c r="D32" s="342">
        <f>'หมวด2-4.2'!G61</f>
        <v>60</v>
      </c>
      <c r="E32" s="679"/>
      <c r="F32" s="670"/>
      <c r="G32" s="702"/>
    </row>
    <row r="33" spans="1:10" x14ac:dyDescent="0.6">
      <c r="A33" s="466" t="s">
        <v>219</v>
      </c>
      <c r="B33" s="678">
        <f>'หมวด2-4.2'!K127</f>
        <v>20</v>
      </c>
      <c r="C33" s="329">
        <f>'หมวด2-4.2'!G90</f>
        <v>0</v>
      </c>
      <c r="D33" s="342">
        <f>'หมวด2-4.2'!G93</f>
        <v>0</v>
      </c>
      <c r="E33" s="679" t="str">
        <f>'หมวด2-4.2'!T127</f>
        <v>ไม่บรรลุ</v>
      </c>
      <c r="F33" s="669"/>
      <c r="G33" s="701">
        <f>'หมวด2-4.2'!Q127</f>
        <v>0</v>
      </c>
    </row>
    <row r="34" spans="1:10" x14ac:dyDescent="0.6">
      <c r="A34" s="466"/>
      <c r="B34" s="678"/>
      <c r="C34" s="329">
        <f>'หมวด2-4.2'!G91</f>
        <v>2</v>
      </c>
      <c r="D34" s="342">
        <f>'หมวด2-4.2'!G94</f>
        <v>20</v>
      </c>
      <c r="E34" s="679"/>
      <c r="F34" s="670"/>
      <c r="G34" s="702"/>
    </row>
    <row r="35" spans="1:10" ht="31.5" customHeight="1" x14ac:dyDescent="0.6">
      <c r="A35" s="715" t="str">
        <f>IF(OR(เกณฑ์=5,เกณฑ์=6),J35," ")</f>
        <v xml:space="preserve"> </v>
      </c>
      <c r="B35" s="716">
        <f>'หมวด2-4.2(เอก)'!K42</f>
        <v>1</v>
      </c>
      <c r="C35" s="343">
        <f>'หมวด2-4.2(เอก)'!G8</f>
        <v>0</v>
      </c>
      <c r="D35" s="344">
        <f>'หมวด2-4.2(เอก)'!G11</f>
        <v>0</v>
      </c>
      <c r="E35" s="679" t="str">
        <f>'หมวด2-4.2(เอก)'!T42</f>
        <v>ไม่บรรลุ</v>
      </c>
      <c r="F35" s="669"/>
      <c r="G35" s="723" t="str">
        <f>IF(OR(เกณฑ์=5,เกณฑ์=6),'หมวด2-4.2(เอก)'!Q42,"")</f>
        <v/>
      </c>
      <c r="J35" s="345" t="s">
        <v>220</v>
      </c>
    </row>
    <row r="36" spans="1:10" ht="31.5" customHeight="1" x14ac:dyDescent="0.6">
      <c r="A36" s="715"/>
      <c r="B36" s="717"/>
      <c r="C36" s="343">
        <f>'หมวด2-4.2(เอก)'!G9</f>
        <v>2</v>
      </c>
      <c r="D36" s="346">
        <f>'หมวด2-4.2(เอก)'!G12</f>
        <v>2.5</v>
      </c>
      <c r="E36" s="679"/>
      <c r="F36" s="670"/>
      <c r="G36" s="723"/>
      <c r="J36" s="347"/>
    </row>
    <row r="37" spans="1:10" x14ac:dyDescent="0.6">
      <c r="A37" s="348" t="s">
        <v>221</v>
      </c>
      <c r="B37" s="337">
        <f>'หมวด2-4.3'!D47</f>
        <v>3</v>
      </c>
      <c r="C37" s="707">
        <f>'หมวด2-4.3'!E47</f>
        <v>3</v>
      </c>
      <c r="D37" s="707"/>
      <c r="E37" s="322" t="str">
        <f>'หมวด2-4.3'!G47</f>
        <v>บรรลุ</v>
      </c>
      <c r="F37" s="338"/>
      <c r="G37" s="229">
        <f>IF(I37=TRUE,'หมวด2-4.3'!F47,"ไม่ประเมิน")</f>
        <v>3</v>
      </c>
      <c r="I37" s="272" t="b">
        <v>1</v>
      </c>
    </row>
    <row r="38" spans="1:10" x14ac:dyDescent="0.6">
      <c r="A38" s="720" t="s">
        <v>222</v>
      </c>
      <c r="B38" s="721"/>
      <c r="C38" s="721"/>
      <c r="D38" s="721"/>
      <c r="E38" s="722"/>
      <c r="F38" s="339" t="s">
        <v>206</v>
      </c>
      <c r="G38" s="187">
        <f>AVERAGE(G37,G28,G27)</f>
        <v>2.4633333333333334</v>
      </c>
    </row>
    <row r="39" spans="1:10" s="326" customFormat="1" ht="34.5" customHeight="1" x14ac:dyDescent="0.6">
      <c r="A39" s="708" t="s">
        <v>119</v>
      </c>
      <c r="B39" s="709"/>
      <c r="C39" s="709"/>
      <c r="D39" s="709"/>
      <c r="E39" s="709"/>
      <c r="F39" s="709"/>
      <c r="G39" s="710"/>
      <c r="H39" s="325"/>
      <c r="J39" s="327"/>
    </row>
    <row r="40" spans="1:10" x14ac:dyDescent="0.6">
      <c r="A40" s="348" t="s">
        <v>223</v>
      </c>
      <c r="B40" s="337">
        <f>'หมวด4-5.1'!D25</f>
        <v>4</v>
      </c>
      <c r="C40" s="707">
        <f>'หมวด4-5.1'!E25</f>
        <v>3</v>
      </c>
      <c r="D40" s="707"/>
      <c r="E40" s="322" t="str">
        <f>'หมวด4-5.1'!G25</f>
        <v>ไม่บรรลุ</v>
      </c>
      <c r="F40" s="338"/>
      <c r="G40" s="229">
        <f>IF(I40=TRUE,'หมวด4-5.1'!F25,"ไม่ประเมิน")</f>
        <v>3</v>
      </c>
      <c r="I40" s="272" t="b">
        <v>1</v>
      </c>
    </row>
    <row r="41" spans="1:10" ht="45" x14ac:dyDescent="0.6">
      <c r="A41" s="349" t="s">
        <v>224</v>
      </c>
      <c r="B41" s="337">
        <f>'หมวด4-5.2'!D27</f>
        <v>3</v>
      </c>
      <c r="C41" s="707">
        <f>'หมวด4-5.2'!E27</f>
        <v>3</v>
      </c>
      <c r="D41" s="707"/>
      <c r="E41" s="322" t="str">
        <f>'หมวด4-5.2'!G27</f>
        <v>บรรลุ</v>
      </c>
      <c r="F41" s="350"/>
      <c r="G41" s="188">
        <f>IF(I41=TRUE,'หมวด4-5.2'!F27,"ไม่ประเมิน")</f>
        <v>3</v>
      </c>
      <c r="I41" s="272" t="b">
        <v>1</v>
      </c>
    </row>
    <row r="42" spans="1:10" x14ac:dyDescent="0.6">
      <c r="A42" s="349" t="s">
        <v>225</v>
      </c>
      <c r="B42" s="337">
        <f>'หมวด4-5.3'!D25</f>
        <v>4</v>
      </c>
      <c r="C42" s="707">
        <f>'หมวด4-5.3'!E25</f>
        <v>2</v>
      </c>
      <c r="D42" s="707"/>
      <c r="E42" s="322" t="str">
        <f>'หมวด4-5.3'!G25</f>
        <v>ไม่บรรลุ</v>
      </c>
      <c r="F42" s="350"/>
      <c r="G42" s="188">
        <f>IF(I42=TRUE,'หมวด4-5.3'!F25,"ไม่ประเมิน")</f>
        <v>2</v>
      </c>
      <c r="I42" s="272" t="b">
        <v>1</v>
      </c>
    </row>
    <row r="43" spans="1:10" ht="21" customHeight="1" x14ac:dyDescent="0.6">
      <c r="A43" s="466" t="s">
        <v>226</v>
      </c>
      <c r="B43" s="334" t="s">
        <v>276</v>
      </c>
      <c r="C43" s="351">
        <f>'หมวด4-5.4'!D25</f>
        <v>12</v>
      </c>
      <c r="D43" s="718">
        <f>'หมวด4-5.4'!E45</f>
        <v>100</v>
      </c>
      <c r="E43" s="679" t="str">
        <f>'หมวด4-5.4'!G45</f>
        <v>บรรลุ</v>
      </c>
      <c r="F43" s="673"/>
      <c r="G43" s="680">
        <f>IF(I43=TRUE,'หมวด4-5.4'!F45,"ไม่ประเมิน")</f>
        <v>5</v>
      </c>
      <c r="I43" s="272" t="b">
        <v>1</v>
      </c>
    </row>
    <row r="44" spans="1:10" ht="21" customHeight="1" x14ac:dyDescent="0.6">
      <c r="A44" s="466"/>
      <c r="B44" s="334" t="s">
        <v>277</v>
      </c>
      <c r="C44" s="351">
        <f>'หมวด4-5.4'!D26</f>
        <v>12</v>
      </c>
      <c r="D44" s="719"/>
      <c r="E44" s="679"/>
      <c r="F44" s="674"/>
      <c r="G44" s="680"/>
    </row>
    <row r="45" spans="1:10" x14ac:dyDescent="0.6">
      <c r="A45" s="720" t="s">
        <v>227</v>
      </c>
      <c r="B45" s="721"/>
      <c r="C45" s="721"/>
      <c r="D45" s="721"/>
      <c r="E45" s="722"/>
      <c r="F45" s="339" t="s">
        <v>206</v>
      </c>
      <c r="G45" s="187">
        <f>AVERAGE(G40:G44)</f>
        <v>3.25</v>
      </c>
    </row>
    <row r="46" spans="1:10" s="326" customFormat="1" ht="34.5" customHeight="1" x14ac:dyDescent="0.6">
      <c r="A46" s="711" t="s">
        <v>145</v>
      </c>
      <c r="B46" s="712"/>
      <c r="C46" s="712"/>
      <c r="D46" s="712"/>
      <c r="E46" s="712"/>
      <c r="F46" s="712"/>
      <c r="G46" s="713"/>
      <c r="H46" s="325"/>
      <c r="J46" s="327"/>
    </row>
    <row r="47" spans="1:10" x14ac:dyDescent="0.6">
      <c r="A47" s="348" t="s">
        <v>228</v>
      </c>
      <c r="B47" s="337">
        <f>'หมวด5-6.1'!D26</f>
        <v>3</v>
      </c>
      <c r="C47" s="707">
        <f>'หมวด5-6.1'!E26</f>
        <v>3</v>
      </c>
      <c r="D47" s="707"/>
      <c r="E47" s="322" t="str">
        <f>'หมวด5-6.1'!G26</f>
        <v>บรรลุ</v>
      </c>
      <c r="F47" s="322"/>
      <c r="G47" s="229">
        <f>IF(I47=TRUE,'หมวด5-6.1'!F26,"ไม่ประเมิน")</f>
        <v>3</v>
      </c>
      <c r="I47" s="272" t="b">
        <v>1</v>
      </c>
    </row>
    <row r="48" spans="1:10" x14ac:dyDescent="0.6">
      <c r="A48" s="720" t="s">
        <v>231</v>
      </c>
      <c r="B48" s="721"/>
      <c r="C48" s="721"/>
      <c r="D48" s="721"/>
      <c r="E48" s="722"/>
      <c r="F48" s="339" t="s">
        <v>206</v>
      </c>
      <c r="G48" s="187">
        <f>G47</f>
        <v>3</v>
      </c>
    </row>
    <row r="49" spans="4:10" x14ac:dyDescent="0.6">
      <c r="F49" s="352" t="s">
        <v>188</v>
      </c>
      <c r="G49" s="201">
        <f>SUM(G12:G19,G22:G24,G27:G28,G37,G40:G44,G47)</f>
        <v>40.49</v>
      </c>
    </row>
    <row r="50" spans="4:10" x14ac:dyDescent="0.6">
      <c r="D50" s="353"/>
      <c r="F50" s="353" t="s">
        <v>230</v>
      </c>
      <c r="G50" s="202">
        <f>COUNT(G12:G19,G22:G24,G27:G28,G37,G40:G44,G47)</f>
        <v>13</v>
      </c>
    </row>
    <row r="51" spans="4:10" ht="30.75" thickBot="1" x14ac:dyDescent="0.7">
      <c r="D51" s="353"/>
      <c r="F51" s="353" t="s">
        <v>189</v>
      </c>
      <c r="G51" s="354">
        <f>ROUND(G49/G50,2)</f>
        <v>3.11</v>
      </c>
      <c r="H51" s="330"/>
      <c r="I51" s="355"/>
      <c r="J51" s="356"/>
    </row>
    <row r="52" spans="4:10" ht="27.75" thickTop="1" x14ac:dyDescent="0.6"/>
  </sheetData>
  <sheetProtection sheet="1" objects="1" scenarios="1" formatCells="0" formatRows="0" insertRows="0" deleteRows="0"/>
  <mergeCells count="80">
    <mergeCell ref="A20:E20"/>
    <mergeCell ref="A38:E38"/>
    <mergeCell ref="A45:E45"/>
    <mergeCell ref="A48:E48"/>
    <mergeCell ref="C47:D47"/>
    <mergeCell ref="A46:G46"/>
    <mergeCell ref="E33:E34"/>
    <mergeCell ref="G31:G32"/>
    <mergeCell ref="G43:G44"/>
    <mergeCell ref="G35:G36"/>
    <mergeCell ref="B35:B36"/>
    <mergeCell ref="D43:D44"/>
    <mergeCell ref="A43:A44"/>
    <mergeCell ref="E43:E44"/>
    <mergeCell ref="F29:F30"/>
    <mergeCell ref="F31:F32"/>
    <mergeCell ref="F33:F34"/>
    <mergeCell ref="F35:F36"/>
    <mergeCell ref="E31:E32"/>
    <mergeCell ref="F43:F44"/>
    <mergeCell ref="C22:D22"/>
    <mergeCell ref="C23:D23"/>
    <mergeCell ref="C24:D24"/>
    <mergeCell ref="E35:E36"/>
    <mergeCell ref="C28:D28"/>
    <mergeCell ref="A25:E25"/>
    <mergeCell ref="A35:A36"/>
    <mergeCell ref="C27:D27"/>
    <mergeCell ref="B33:B34"/>
    <mergeCell ref="E29:E30"/>
    <mergeCell ref="A1:G1"/>
    <mergeCell ref="A2:G2"/>
    <mergeCell ref="A3:G3"/>
    <mergeCell ref="D6:D7"/>
    <mergeCell ref="C42:D42"/>
    <mergeCell ref="C37:D37"/>
    <mergeCell ref="A39:G39"/>
    <mergeCell ref="C40:D40"/>
    <mergeCell ref="C41:D41"/>
    <mergeCell ref="A26:G26"/>
    <mergeCell ref="C5:D5"/>
    <mergeCell ref="G5:G7"/>
    <mergeCell ref="B29:B30"/>
    <mergeCell ref="A33:A34"/>
    <mergeCell ref="G33:G34"/>
    <mergeCell ref="B31:B32"/>
    <mergeCell ref="E18:E19"/>
    <mergeCell ref="A29:A30"/>
    <mergeCell ref="G29:G30"/>
    <mergeCell ref="A31:A32"/>
    <mergeCell ref="C9:D9"/>
    <mergeCell ref="D10:G10"/>
    <mergeCell ref="A18:A19"/>
    <mergeCell ref="A12:A13"/>
    <mergeCell ref="E5:E7"/>
    <mergeCell ref="A5:A7"/>
    <mergeCell ref="B5:B7"/>
    <mergeCell ref="E16:E17"/>
    <mergeCell ref="A8:G8"/>
    <mergeCell ref="A10:C10"/>
    <mergeCell ref="D12:D13"/>
    <mergeCell ref="B12:B13"/>
    <mergeCell ref="E12:E13"/>
    <mergeCell ref="G12:G13"/>
    <mergeCell ref="A11:G11"/>
    <mergeCell ref="B18:B19"/>
    <mergeCell ref="A14:A15"/>
    <mergeCell ref="G18:G19"/>
    <mergeCell ref="B16:B17"/>
    <mergeCell ref="A16:A17"/>
    <mergeCell ref="F5:F7"/>
    <mergeCell ref="F12:F13"/>
    <mergeCell ref="F14:F15"/>
    <mergeCell ref="F16:F17"/>
    <mergeCell ref="F18:F19"/>
    <mergeCell ref="A21:G21"/>
    <mergeCell ref="B14:B15"/>
    <mergeCell ref="E14:E15"/>
    <mergeCell ref="G14:G15"/>
    <mergeCell ref="G16:G17"/>
  </mergeCells>
  <conditionalFormatting sqref="G35:G36">
    <cfRule type="cellIs" dxfId="88" priority="73" stopIfTrue="1" operator="equal">
      <formula>"ไม่ประเมิน"</formula>
    </cfRule>
  </conditionalFormatting>
  <conditionalFormatting sqref="E12:F12">
    <cfRule type="cellIs" dxfId="87" priority="70" stopIfTrue="1" operator="equal">
      <formula>"ไม่ประเมินกรณีหลักสูตรใหม่"</formula>
    </cfRule>
    <cfRule type="cellIs" dxfId="86" priority="71" stopIfTrue="1" operator="equal">
      <formula>"ไม่ประเมินกรณีหลักสูตรใหม่"</formula>
    </cfRule>
    <cfRule type="cellIs" dxfId="85" priority="72" stopIfTrue="1" operator="equal">
      <formula>"ไม่ประเมิน"</formula>
    </cfRule>
  </conditionalFormatting>
  <conditionalFormatting sqref="A12:D13">
    <cfRule type="cellIs" dxfId="84" priority="66" operator="equal">
      <formula>"เกณฑ์=1"</formula>
    </cfRule>
  </conditionalFormatting>
  <conditionalFormatting sqref="A12:A13">
    <cfRule type="cellIs" dxfId="83" priority="65" operator="equal">
      <formula>$J$12=1</formula>
    </cfRule>
  </conditionalFormatting>
  <conditionalFormatting sqref="D10:G10">
    <cfRule type="cellIs" dxfId="82" priority="62" operator="equal">
      <formula>"หลักสูตรไม่ได้มาตรฐาน"</formula>
    </cfRule>
    <cfRule type="cellIs" dxfId="81" priority="63" operator="equal">
      <formula>"หลักสูตรได้มาตรฐาน"</formula>
    </cfRule>
  </conditionalFormatting>
  <conditionalFormatting sqref="E12:F12 E13">
    <cfRule type="cellIs" dxfId="80" priority="60" operator="equal">
      <formula>"ไม่บรรลุ"</formula>
    </cfRule>
    <cfRule type="cellIs" dxfId="79" priority="61" operator="equal">
      <formula>"บรรลุ"</formula>
    </cfRule>
  </conditionalFormatting>
  <conditionalFormatting sqref="E14 E16:F16 E18:F18">
    <cfRule type="cellIs" dxfId="78" priority="57" stopIfTrue="1" operator="equal">
      <formula>"ไม่ประเมินกรณีหลักสูตรใหม่"</formula>
    </cfRule>
    <cfRule type="cellIs" dxfId="77" priority="58" stopIfTrue="1" operator="equal">
      <formula>"ไม่ประเมินกรณีหลักสูตรใหม่"</formula>
    </cfRule>
    <cfRule type="cellIs" dxfId="76" priority="59" stopIfTrue="1" operator="equal">
      <formula>"ไม่ประเมิน"</formula>
    </cfRule>
  </conditionalFormatting>
  <conditionalFormatting sqref="E16:F16 E14:E15 E18:F18 E17 E19">
    <cfRule type="cellIs" dxfId="75" priority="55" operator="equal">
      <formula>"ไม่บรรลุ"</formula>
    </cfRule>
    <cfRule type="cellIs" dxfId="74" priority="56" operator="equal">
      <formula>"บรรลุ"</formula>
    </cfRule>
  </conditionalFormatting>
  <conditionalFormatting sqref="E22:F22">
    <cfRule type="cellIs" dxfId="73" priority="53" operator="equal">
      <formula>"บรรลุ"</formula>
    </cfRule>
    <cfRule type="cellIs" dxfId="72" priority="54" operator="equal">
      <formula>"ไม่บรรลุ"</formula>
    </cfRule>
  </conditionalFormatting>
  <conditionalFormatting sqref="E23:F24">
    <cfRule type="cellIs" dxfId="71" priority="51" operator="equal">
      <formula>"บรรลุ"</formula>
    </cfRule>
    <cfRule type="cellIs" dxfId="70" priority="52" operator="equal">
      <formula>"ไม่บรรลุ"</formula>
    </cfRule>
  </conditionalFormatting>
  <conditionalFormatting sqref="E27:F27">
    <cfRule type="cellIs" dxfId="69" priority="49" operator="equal">
      <formula>"บรรลุ"</formula>
    </cfRule>
    <cfRule type="cellIs" dxfId="68" priority="50" operator="equal">
      <formula>"ไม่บรรลุ"</formula>
    </cfRule>
  </conditionalFormatting>
  <conditionalFormatting sqref="E29:F29 E31:F31">
    <cfRule type="cellIs" dxfId="67" priority="46" stopIfTrue="1" operator="equal">
      <formula>"ไม่ประเมินกรณีหลักสูตรใหม่"</formula>
    </cfRule>
    <cfRule type="cellIs" dxfId="66" priority="47" stopIfTrue="1" operator="equal">
      <formula>"ไม่ประเมินกรณีหลักสูตรใหม่"</formula>
    </cfRule>
    <cfRule type="cellIs" dxfId="65" priority="48" stopIfTrue="1" operator="equal">
      <formula>"ไม่ประเมิน"</formula>
    </cfRule>
  </conditionalFormatting>
  <conditionalFormatting sqref="E29:F29 E31:F31 E30 E32">
    <cfRule type="cellIs" dxfId="64" priority="44" operator="equal">
      <formula>"ไม่บรรลุ"</formula>
    </cfRule>
    <cfRule type="cellIs" dxfId="63" priority="45" operator="equal">
      <formula>"บรรลุ"</formula>
    </cfRule>
  </conditionalFormatting>
  <conditionalFormatting sqref="E33:F33">
    <cfRule type="cellIs" dxfId="62" priority="41" stopIfTrue="1" operator="equal">
      <formula>"ไม่ประเมินกรณีหลักสูตรใหม่"</formula>
    </cfRule>
    <cfRule type="cellIs" dxfId="61" priority="42" stopIfTrue="1" operator="equal">
      <formula>"ไม่ประเมินกรณีหลักสูตรใหม่"</formula>
    </cfRule>
    <cfRule type="cellIs" dxfId="60" priority="43" stopIfTrue="1" operator="equal">
      <formula>"ไม่ประเมิน"</formula>
    </cfRule>
  </conditionalFormatting>
  <conditionalFormatting sqref="E33:F33 E34">
    <cfRule type="cellIs" dxfId="59" priority="39" operator="equal">
      <formula>"ไม่บรรลุ"</formula>
    </cfRule>
    <cfRule type="cellIs" dxfId="58" priority="40" operator="equal">
      <formula>"บรรลุ"</formula>
    </cfRule>
  </conditionalFormatting>
  <conditionalFormatting sqref="E35:F35">
    <cfRule type="cellIs" dxfId="57" priority="36" stopIfTrue="1" operator="equal">
      <formula>"ไม่ประเมินกรณีหลักสูตรใหม่"</formula>
    </cfRule>
    <cfRule type="cellIs" dxfId="56" priority="37" stopIfTrue="1" operator="equal">
      <formula>"ไม่ประเมินกรณีหลักสูตรใหม่"</formula>
    </cfRule>
    <cfRule type="cellIs" dxfId="55" priority="38" stopIfTrue="1" operator="equal">
      <formula>"ไม่ประเมิน"</formula>
    </cfRule>
  </conditionalFormatting>
  <conditionalFormatting sqref="E35:F35 E36">
    <cfRule type="cellIs" dxfId="54" priority="34" operator="equal">
      <formula>"ไม่บรรลุ"</formula>
    </cfRule>
    <cfRule type="cellIs" dxfId="53" priority="35" operator="equal">
      <formula>"บรรลุ"</formula>
    </cfRule>
  </conditionalFormatting>
  <conditionalFormatting sqref="E37:F37">
    <cfRule type="cellIs" dxfId="52" priority="32" operator="equal">
      <formula>"บรรลุ"</formula>
    </cfRule>
    <cfRule type="cellIs" dxfId="51" priority="33" operator="equal">
      <formula>"ไม่บรรลุ"</formula>
    </cfRule>
  </conditionalFormatting>
  <conditionalFormatting sqref="E40:F40">
    <cfRule type="cellIs" dxfId="50" priority="30" operator="equal">
      <formula>"บรรลุ"</formula>
    </cfRule>
    <cfRule type="cellIs" dxfId="49" priority="31" operator="equal">
      <formula>"ไม่บรรลุ"</formula>
    </cfRule>
  </conditionalFormatting>
  <conditionalFormatting sqref="E41:F41">
    <cfRule type="cellIs" dxfId="48" priority="28" operator="equal">
      <formula>"บรรลุ"</formula>
    </cfRule>
    <cfRule type="cellIs" dxfId="47" priority="29" operator="equal">
      <formula>"ไม่บรรลุ"</formula>
    </cfRule>
  </conditionalFormatting>
  <conditionalFormatting sqref="E42:F42">
    <cfRule type="cellIs" dxfId="46" priority="26" operator="equal">
      <formula>"บรรลุ"</formula>
    </cfRule>
    <cfRule type="cellIs" dxfId="45" priority="27" operator="equal">
      <formula>"ไม่บรรลุ"</formula>
    </cfRule>
  </conditionalFormatting>
  <conditionalFormatting sqref="E47:F47">
    <cfRule type="cellIs" dxfId="44" priority="24" operator="equal">
      <formula>"บรรลุ"</formula>
    </cfRule>
    <cfRule type="cellIs" dxfId="43" priority="25" operator="equal">
      <formula>"ไม่บรรลุ"</formula>
    </cfRule>
  </conditionalFormatting>
  <conditionalFormatting sqref="E9:F9">
    <cfRule type="cellIs" dxfId="42" priority="22" operator="equal">
      <formula>"บรรลุ"</formula>
    </cfRule>
    <cfRule type="cellIs" dxfId="41" priority="23" operator="equal">
      <formula>"ไม่บรรลุ"</formula>
    </cfRule>
  </conditionalFormatting>
  <conditionalFormatting sqref="C9:D9">
    <cfRule type="cellIs" dxfId="40" priority="20" operator="equal">
      <formula>"ผ่าน"</formula>
    </cfRule>
    <cfRule type="cellIs" dxfId="39" priority="21" operator="equal">
      <formula>"ไม่ผ่าน"</formula>
    </cfRule>
  </conditionalFormatting>
  <conditionalFormatting sqref="G9">
    <cfRule type="cellIs" dxfId="38" priority="18" operator="equal">
      <formula>"ผ่าน"</formula>
    </cfRule>
    <cfRule type="cellIs" dxfId="37" priority="19" operator="equal">
      <formula>"ไม่ผ่าน"</formula>
    </cfRule>
  </conditionalFormatting>
  <conditionalFormatting sqref="G12:G13">
    <cfRule type="cellIs" dxfId="36" priority="12" operator="equal">
      <formula>"ไม่ประเมิน"</formula>
    </cfRule>
    <cfRule type="cellIs" dxfId="35" priority="15" operator="equal">
      <formula>"ไม่ประเมิน"</formula>
    </cfRule>
    <cfRule type="cellIs" dxfId="34" priority="17" operator="equal">
      <formula>"ไม่ประเมิน"</formula>
    </cfRule>
  </conditionalFormatting>
  <conditionalFormatting sqref="G14:G19">
    <cfRule type="cellIs" dxfId="33" priority="9" operator="equal">
      <formula>"ไม่ประเมิน"</formula>
    </cfRule>
    <cfRule type="cellIs" dxfId="32" priority="10" operator="equal">
      <formula>"ไม่ประเมิน"</formula>
    </cfRule>
    <cfRule type="cellIs" dxfId="31" priority="11" operator="equal">
      <formula>"ไม่ประเมิน"</formula>
    </cfRule>
  </conditionalFormatting>
  <conditionalFormatting sqref="F14">
    <cfRule type="cellIs" dxfId="30" priority="5" stopIfTrue="1" operator="equal">
      <formula>"ไม่ประเมินกรณีหลักสูตรใหม่"</formula>
    </cfRule>
    <cfRule type="cellIs" dxfId="29" priority="6" stopIfTrue="1" operator="equal">
      <formula>"ไม่ประเมินกรณีหลักสูตรใหม่"</formula>
    </cfRule>
    <cfRule type="cellIs" dxfId="28" priority="7" stopIfTrue="1" operator="equal">
      <formula>"ไม่ประเมิน"</formula>
    </cfRule>
  </conditionalFormatting>
  <conditionalFormatting sqref="F14">
    <cfRule type="cellIs" dxfId="27" priority="3" operator="equal">
      <formula>"ไม่บรรลุ"</formula>
    </cfRule>
    <cfRule type="cellIs" dxfId="26" priority="4" operator="equal">
      <formula>"บรรลุ"</formula>
    </cfRule>
  </conditionalFormatting>
  <conditionalFormatting sqref="E28">
    <cfRule type="cellIs" dxfId="25" priority="1" operator="equal">
      <formula>"บรรลุ"</formula>
    </cfRule>
    <cfRule type="cellIs" dxfId="24" priority="2" operator="equal">
      <formula>"ไม่บรรลุ"</formula>
    </cfRule>
  </conditionalFormatting>
  <hyperlinks>
    <hyperlink ref="H4" location="ข้อมูลพื้นฐาน!A1" display="Main Menu"/>
    <hyperlink ref="H6" location="ตารางวิเคราะห์!A1" display="Next &gt;&gt; ตารางวิเคราะห์"/>
    <hyperlink ref="H5" location="'หมวด5-6.1'!A1" display="&lt;&lt; Previois ตัวบ่งชี้ที่ 6.1"/>
  </hyperlinks>
  <printOptions horizontalCentered="1"/>
  <pageMargins left="1.1023622047244095" right="0.70866141732283472" top="0.94488188976377963" bottom="0.74803149606299213" header="0.31496062992125984" footer="0.31496062992125984"/>
  <pageSetup paperSize="9" scale="90" orientation="portrait" blackAndWhite="1" r:id="rId1"/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50" r:id="rId4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15</xdr:row>
                    <xdr:rowOff>95250</xdr:rowOff>
                  </from>
                  <to>
                    <xdr:col>6</xdr:col>
                    <xdr:colOff>47625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5" name="Check Box 3">
              <controlPr defaultSize="0" autoFill="0" autoLine="0" autoPict="0">
                <anchor moveWithCells="1">
                  <from>
                    <xdr:col>5</xdr:col>
                    <xdr:colOff>66675</xdr:colOff>
                    <xdr:row>17</xdr:row>
                    <xdr:rowOff>95250</xdr:rowOff>
                  </from>
                  <to>
                    <xdr:col>6</xdr:col>
                    <xdr:colOff>47625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6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21</xdr:row>
                    <xdr:rowOff>19050</xdr:rowOff>
                  </from>
                  <to>
                    <xdr:col>6</xdr:col>
                    <xdr:colOff>47625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7" name="Check Box 5">
              <controlPr defaultSize="0" autoFill="0" autoLine="0" autoPict="0">
                <anchor moveWithCells="1">
                  <from>
                    <xdr:col>5</xdr:col>
                    <xdr:colOff>66675</xdr:colOff>
                    <xdr:row>22</xdr:row>
                    <xdr:rowOff>19050</xdr:rowOff>
                  </from>
                  <to>
                    <xdr:col>6</xdr:col>
                    <xdr:colOff>47625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4" r:id="rId8" name="Check Box 6">
              <controlPr defaultSize="0" autoFill="0" autoLine="0" autoPict="0">
                <anchor moveWithCells="1">
                  <from>
                    <xdr:col>5</xdr:col>
                    <xdr:colOff>66675</xdr:colOff>
                    <xdr:row>23</xdr:row>
                    <xdr:rowOff>19050</xdr:rowOff>
                  </from>
                  <to>
                    <xdr:col>6</xdr:col>
                    <xdr:colOff>47625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5" r:id="rId9" name="Check Box 7">
              <controlPr defaultSize="0" autoFill="0" autoLine="0" autoPict="0">
                <anchor moveWithCells="1">
                  <from>
                    <xdr:col>5</xdr:col>
                    <xdr:colOff>66675</xdr:colOff>
                    <xdr:row>26</xdr:row>
                    <xdr:rowOff>19050</xdr:rowOff>
                  </from>
                  <to>
                    <xdr:col>6</xdr:col>
                    <xdr:colOff>47625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6" r:id="rId10" name="Check Box 8">
              <controlPr defaultSize="0" autoFill="0" autoLine="0" autoPict="0">
                <anchor moveWithCells="1">
                  <from>
                    <xdr:col>5</xdr:col>
                    <xdr:colOff>66675</xdr:colOff>
                    <xdr:row>27</xdr:row>
                    <xdr:rowOff>19050</xdr:rowOff>
                  </from>
                  <to>
                    <xdr:col>6</xdr:col>
                    <xdr:colOff>47625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7" r:id="rId11" name="Check Box 9">
              <controlPr defaultSize="0" autoFill="0" autoLine="0" autoPict="0">
                <anchor moveWithCells="1">
                  <from>
                    <xdr:col>5</xdr:col>
                    <xdr:colOff>66675</xdr:colOff>
                    <xdr:row>36</xdr:row>
                    <xdr:rowOff>19050</xdr:rowOff>
                  </from>
                  <to>
                    <xdr:col>6</xdr:col>
                    <xdr:colOff>47625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8" r:id="rId12" name="Check Box 10">
              <controlPr defaultSize="0" autoFill="0" autoLine="0" autoPict="0">
                <anchor moveWithCells="1">
                  <from>
                    <xdr:col>5</xdr:col>
                    <xdr:colOff>66675</xdr:colOff>
                    <xdr:row>39</xdr:row>
                    <xdr:rowOff>19050</xdr:rowOff>
                  </from>
                  <to>
                    <xdr:col>6</xdr:col>
                    <xdr:colOff>47625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9" r:id="rId13" name="Check Box 11">
              <controlPr defaultSize="0" autoFill="0" autoLine="0" autoPict="0">
                <anchor moveWithCells="1">
                  <from>
                    <xdr:col>5</xdr:col>
                    <xdr:colOff>66675</xdr:colOff>
                    <xdr:row>40</xdr:row>
                    <xdr:rowOff>19050</xdr:rowOff>
                  </from>
                  <to>
                    <xdr:col>6</xdr:col>
                    <xdr:colOff>47625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0" r:id="rId14" name="Check Box 12">
              <controlPr defaultSize="0" autoFill="0" autoLine="0" autoPict="0">
                <anchor moveWithCells="1">
                  <from>
                    <xdr:col>5</xdr:col>
                    <xdr:colOff>66675</xdr:colOff>
                    <xdr:row>41</xdr:row>
                    <xdr:rowOff>19050</xdr:rowOff>
                  </from>
                  <to>
                    <xdr:col>6</xdr:col>
                    <xdr:colOff>47625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1" r:id="rId15" name="Check Box 13">
              <controlPr defaultSize="0" autoFill="0" autoLine="0" autoPict="0">
                <anchor moveWithCells="1">
                  <from>
                    <xdr:col>5</xdr:col>
                    <xdr:colOff>66675</xdr:colOff>
                    <xdr:row>42</xdr:row>
                    <xdr:rowOff>142875</xdr:rowOff>
                  </from>
                  <to>
                    <xdr:col>6</xdr:col>
                    <xdr:colOff>47625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2" r:id="rId16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46</xdr:row>
                    <xdr:rowOff>19050</xdr:rowOff>
                  </from>
                  <to>
                    <xdr:col>6</xdr:col>
                    <xdr:colOff>47625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24"/>
  <sheetViews>
    <sheetView showGridLines="0" zoomScale="115" zoomScaleNormal="115" zoomScaleSheetLayoutView="115" workbookViewId="0">
      <selection activeCell="A4" sqref="A4"/>
    </sheetView>
  </sheetViews>
  <sheetFormatPr defaultRowHeight="24" x14ac:dyDescent="0.55000000000000004"/>
  <cols>
    <col min="1" max="1" width="30.875" style="2" customWidth="1"/>
    <col min="2" max="6" width="6.875" style="2" customWidth="1"/>
    <col min="7" max="7" width="14.75" style="2" customWidth="1"/>
    <col min="8" max="8" width="20.875" style="2" bestFit="1" customWidth="1"/>
    <col min="9" max="9" width="56.75" style="2" hidden="1" customWidth="1"/>
    <col min="10" max="10" width="22" style="2" hidden="1" customWidth="1"/>
    <col min="11" max="16384" width="9" style="2"/>
  </cols>
  <sheetData>
    <row r="1" spans="1:10" x14ac:dyDescent="0.55000000000000004">
      <c r="A1" s="4" t="s">
        <v>241</v>
      </c>
    </row>
    <row r="3" spans="1:10" ht="43.5" x14ac:dyDescent="0.55000000000000004">
      <c r="A3" s="78" t="s">
        <v>232</v>
      </c>
      <c r="B3" s="79" t="s">
        <v>233</v>
      </c>
      <c r="C3" s="78" t="s">
        <v>234</v>
      </c>
      <c r="D3" s="78" t="s">
        <v>235</v>
      </c>
      <c r="E3" s="78" t="s">
        <v>236</v>
      </c>
      <c r="F3" s="79" t="s">
        <v>237</v>
      </c>
      <c r="G3" s="80" t="s">
        <v>238</v>
      </c>
    </row>
    <row r="4" spans="1:10" x14ac:dyDescent="0.55000000000000004">
      <c r="A4" s="81" t="s">
        <v>335</v>
      </c>
      <c r="B4" s="724" t="str">
        <f>'หมวด1-1.1'!E23&amp;"การประเมิน"</f>
        <v>ผ่านการประเมิน</v>
      </c>
      <c r="C4" s="725"/>
      <c r="D4" s="725"/>
      <c r="E4" s="725"/>
      <c r="F4" s="726"/>
      <c r="G4" s="82" t="str">
        <f>ตารางสรุป!D10</f>
        <v>หลักสูตรได้มาตรฐาน</v>
      </c>
      <c r="H4" s="181" t="s">
        <v>346</v>
      </c>
    </row>
    <row r="5" spans="1:10" x14ac:dyDescent="0.55000000000000004">
      <c r="A5" s="81" t="s">
        <v>336</v>
      </c>
      <c r="B5" s="226">
        <f>COUNT(ตารางสรุป!G12:G19)</f>
        <v>2</v>
      </c>
      <c r="C5" s="83"/>
      <c r="D5" s="83"/>
      <c r="E5" s="83">
        <f>AVERAGE(ตารางสรุป!G12,IF(OR(เกณฑ์=3,เกณฑ์=4),ตารางสรุป!G16,IF(OR(เกณฑ์=5,เกณฑ์=6),ตารางสรุป!G18,ตารางสรุป!G14)))</f>
        <v>4.05</v>
      </c>
      <c r="F5" s="84">
        <f>E5</f>
        <v>4.05</v>
      </c>
      <c r="G5" s="230" t="str">
        <f>IF(F5="ไม่ประเมิน","ไม่มีบัณฑิตจบ",IF(F5&gt;=4.01,"ดีมาก",IF(F5&gt;=3.01,"ดี",IF(F5&gt;=2.01,"ปานกลาง",IF(F5&gt;=0,"น้อย")))))</f>
        <v>ดีมาก</v>
      </c>
      <c r="H5" s="182" t="s">
        <v>399</v>
      </c>
      <c r="I5" s="77" t="str">
        <f>"องค์ประกอบที่ "&amp;A5&amp;" "&amp;ROUND(F5,2)&amp;" อยู่ในระดับ "&amp;G5</f>
        <v>องค์ประกอบที่ 2) บัณฑิต 4.05 อยู่ในระดับ ดีมาก</v>
      </c>
      <c r="J5" s="2">
        <f>COUNTIF($G$5:$G$9,"ดีมาก")</f>
        <v>1</v>
      </c>
    </row>
    <row r="6" spans="1:10" x14ac:dyDescent="0.55000000000000004">
      <c r="A6" s="81" t="s">
        <v>337</v>
      </c>
      <c r="B6" s="226">
        <f>COUNT(ตารางสรุป!G22:G24)</f>
        <v>3</v>
      </c>
      <c r="C6" s="83"/>
      <c r="D6" s="83">
        <f>AVERAGE(ตารางสรุป!G22,ตารางสรุป!G23)</f>
        <v>3</v>
      </c>
      <c r="E6" s="83">
        <f>ตารางสรุป!G24</f>
        <v>3</v>
      </c>
      <c r="F6" s="84">
        <f>AVERAGE(ตารางสรุป!G22,ตารางสรุป!G23,ตารางสรุป!G24)</f>
        <v>3</v>
      </c>
      <c r="G6" s="166" t="str">
        <f>IF(F6="ไม่ประเมิน","ไม่ประเมิน",IF(F6&gt;=4.01,"ดีมาก", IF(F6&gt;=3.01,"ดี", IF(F6&gt;=2.01,"ปานกลาง", IF(F6&gt;=0, "น้อย")))))</f>
        <v>ปานกลาง</v>
      </c>
      <c r="H6" s="183"/>
      <c r="I6" s="77" t="str">
        <f>"องค์ประกอบที่ "&amp;A6&amp;" "&amp;ROUND(F6,2)&amp;" อยู่ในระดับ "&amp;G6</f>
        <v>องค์ประกอบที่ 3) นักศึกษา 3 อยู่ในระดับ ปานกลาง</v>
      </c>
      <c r="J6" s="2">
        <f>COUNTIF($G$5:$G$9,"ดี")</f>
        <v>1</v>
      </c>
    </row>
    <row r="7" spans="1:10" x14ac:dyDescent="0.55000000000000004">
      <c r="A7" s="81" t="s">
        <v>338</v>
      </c>
      <c r="B7" s="226">
        <f>COUNT(ตารางสรุป!G27:G28,ตารางสรุป!G37)</f>
        <v>3</v>
      </c>
      <c r="C7" s="83">
        <f>ตารางสรุป!G28</f>
        <v>1.39</v>
      </c>
      <c r="D7" s="83">
        <f>AVERAGE(ตารางสรุป!G27)</f>
        <v>3</v>
      </c>
      <c r="E7" s="83">
        <f>ตารางสรุป!G37</f>
        <v>3</v>
      </c>
      <c r="F7" s="84">
        <f>AVERAGE(ตารางสรุป!G27,ตารางสรุป!G28,ตารางสรุป!G37)</f>
        <v>2.4633333333333334</v>
      </c>
      <c r="G7" s="230" t="str">
        <f>IF(F7="ไม่ประเมิน","ไม่ประเมิน",IF(F7&gt;=4.01,"ดีมาก", IF(F7&gt;=3.01,"ดี", IF(F7&gt;=2.01,"ปานกลาง", IF(F7&gt;=0, "น้อย")))))</f>
        <v>ปานกลาง</v>
      </c>
      <c r="I7" s="77" t="str">
        <f>"องค์ประกอบที่ "&amp;A7&amp;" "&amp;ROUND(F7,2)&amp;" อยู่ในระดับ "&amp;G7</f>
        <v>องค์ประกอบที่ 4) อาจารย์ 2.46 อยู่ในระดับ ปานกลาง</v>
      </c>
      <c r="J7" s="2">
        <f>COUNTIF($G$5:$G$9,"ปานกลาง")</f>
        <v>3</v>
      </c>
    </row>
    <row r="8" spans="1:10" ht="43.5" x14ac:dyDescent="0.55000000000000004">
      <c r="A8" s="220" t="s">
        <v>339</v>
      </c>
      <c r="B8" s="226">
        <f>COUNT(ตารางสรุป!G40:G44)</f>
        <v>4</v>
      </c>
      <c r="C8" s="83"/>
      <c r="D8" s="83">
        <f>AVERAGE(ตารางสรุป!G40,ตารางสรุป!G41,ตารางสรุป!G42)</f>
        <v>2.6666666666666665</v>
      </c>
      <c r="E8" s="83">
        <f>ตารางสรุป!G43</f>
        <v>5</v>
      </c>
      <c r="F8" s="84">
        <f>AVERAGE(ตารางสรุป!G40,ตารางสรุป!G41,ตารางสรุป!G42,ตารางสรุป!G43)</f>
        <v>3.25</v>
      </c>
      <c r="G8" s="230" t="str">
        <f>IF(F8="ไม่ประเมิน","ไม่ประเมิน",IF(F8&gt;=4.01,"ดีมาก", IF(F8&gt;=3.01,"ดี", IF(F8&gt;=2.01,"ปานกลาง", IF(F8&gt;=0, "น้อย")))))</f>
        <v>ดี</v>
      </c>
      <c r="I8" s="77" t="str">
        <f>"องค์ประกอบที่ "&amp;A8&amp;" "&amp;ROUND(F8,2)&amp;" อยู่ในระดับ "&amp;G8</f>
        <v>องค์ประกอบที่ 5) หลักสูตร การเรียนการสอน การประเมินผู้เรียน 3.25 อยู่ในระดับ ดี</v>
      </c>
      <c r="J8" s="2">
        <f>COUNTIF($G$5:$G$9,"น้อย")</f>
        <v>0</v>
      </c>
    </row>
    <row r="9" spans="1:10" x14ac:dyDescent="0.55000000000000004">
      <c r="A9" s="81" t="s">
        <v>340</v>
      </c>
      <c r="B9" s="226">
        <f>COUNT(ตารางสรุป!G47)</f>
        <v>1</v>
      </c>
      <c r="C9" s="83"/>
      <c r="D9" s="83">
        <f>ตารางสรุป!G47</f>
        <v>3</v>
      </c>
      <c r="E9" s="83"/>
      <c r="F9" s="84">
        <f>ตารางสรุป!G47</f>
        <v>3</v>
      </c>
      <c r="G9" s="230" t="str">
        <f>IF(F9="ไม่ประเมิน","ไม่ประเมิน",IF(F9&gt;=4.01,"ดีมาก", IF(F9&gt;=3.01,"ดี", IF(F9&gt;=2.01,"ปานกลาง", IF(F9&gt;=0, "น้อย")))))</f>
        <v>ปานกลาง</v>
      </c>
      <c r="H9" s="77"/>
      <c r="I9" s="77" t="str">
        <f>"องค์ประกอบที่ "&amp;A9&amp;" "&amp;ROUND(F9,2)&amp;" อยู่ในระดับ "&amp;G9</f>
        <v>องค์ประกอบที่ 6) สิ่งสนับสนุนการเรียนรู้ 3 อยู่ในระดับ ปานกลาง</v>
      </c>
    </row>
    <row r="10" spans="1:10" x14ac:dyDescent="0.55000000000000004">
      <c r="A10" s="85" t="s">
        <v>71</v>
      </c>
      <c r="B10" s="85">
        <f>SUM(B5:B9)</f>
        <v>13</v>
      </c>
      <c r="C10" s="84">
        <f>AVERAGE(ตารางสรุป!G28)</f>
        <v>1.39</v>
      </c>
      <c r="D10" s="84">
        <f>AVERAGE(ตารางสรุป!G22,ตารางสรุป!G23,ตารางสรุป!G27,ตารางสรุป!G40,ตารางสรุป!G41,ตารางสรุป!G42,ตารางสรุป!G47)</f>
        <v>2.8571428571428572</v>
      </c>
      <c r="E10" s="84">
        <f>AVERAGE(ตารางสรุป!G12,ตารางสรุป!G14,ตารางสรุป!G16,ตารางสรุป!G18,ตารางสรุป!G24,ตารางสรุป!G37,ตารางสรุป!G43)</f>
        <v>3.8200000000000003</v>
      </c>
      <c r="F10" s="84">
        <f>ตารางสรุป!G51</f>
        <v>3.11</v>
      </c>
      <c r="G10" s="230" t="str">
        <f>IF(F10="ไม่ประเมิน","ไม่ประเมิน",IF(F10&gt;=4.01,"ดีมาก", IF(F10&gt;=3.01,"ดี", IF(F10&gt;=2.01,"ปานกลาง", IF(F10&gt;=0, "น้อย")))))</f>
        <v>ดี</v>
      </c>
    </row>
    <row r="11" spans="1:10" x14ac:dyDescent="0.55000000000000004">
      <c r="A11" s="230" t="s">
        <v>239</v>
      </c>
      <c r="B11" s="230"/>
      <c r="C11" s="230" t="str">
        <f>IF(C10="ไม่ประเมิน","ไม่ประเมิน",IF(C10&gt;=4.01,"ดีมาก", IF(C10&gt;=3.01,"ดี", IF(C10&gt;=2.01,"ปานกลาง", IF(C10&gt;=0, "น้อย")))))</f>
        <v>น้อย</v>
      </c>
      <c r="D11" s="230" t="str">
        <f>IF(D10="ไม่ประเมิน","ไม่ประเมิน",IF(D10&gt;=4.01,"ดีมาก", IF(D10&gt;=3.01,"ดี", IF(D10&gt;=2.01,"ปานกลาง", IF(D10&gt;=0, "น้อย")))))</f>
        <v>ปานกลาง</v>
      </c>
      <c r="E11" s="230" t="str">
        <f>IF(E10="ไม่ประเมิน","ไม่ประเมิน",IF(E10&gt;=4.01,"ดีมาก", IF(E10&gt;=3.01,"ดี", IF(E10&gt;=2.01,"ปานกลาง", IF(E10&gt;=0, "น้อย")))))</f>
        <v>ดี</v>
      </c>
      <c r="F11" s="230" t="str">
        <f>IF(F10="ไม่ประเมิน","ไม่ประเมิน",IF(F10&gt;=4.01,"ดีมาก", IF(F10&gt;=3.01,"ดี", IF(F10&gt;=2.01,"ปานกลาง", IF(F10&gt;=0, "น้อย")))))</f>
        <v>ดี</v>
      </c>
      <c r="G11" s="232"/>
    </row>
    <row r="12" spans="1:10" x14ac:dyDescent="0.55000000000000004">
      <c r="A12" s="51"/>
      <c r="B12" s="51"/>
      <c r="C12" s="51"/>
      <c r="D12" s="51"/>
      <c r="E12" s="142"/>
      <c r="F12" s="51"/>
      <c r="G12" s="51"/>
    </row>
    <row r="13" spans="1:10" x14ac:dyDescent="0.55000000000000004">
      <c r="A13" s="115" t="s">
        <v>242</v>
      </c>
      <c r="B13" s="51"/>
      <c r="C13" s="142"/>
      <c r="D13" s="51"/>
      <c r="E13" s="51"/>
      <c r="F13" s="51"/>
      <c r="G13" s="51"/>
    </row>
    <row r="14" spans="1:10" x14ac:dyDescent="0.55000000000000004">
      <c r="A14" s="521" t="s">
        <v>269</v>
      </c>
      <c r="B14" s="523"/>
      <c r="C14" s="724" t="s">
        <v>240</v>
      </c>
      <c r="D14" s="725"/>
      <c r="E14" s="725"/>
      <c r="F14" s="725"/>
      <c r="G14" s="726"/>
    </row>
    <row r="15" spans="1:10" s="1" customFormat="1" ht="42" customHeight="1" x14ac:dyDescent="0.55000000000000004">
      <c r="A15" s="460" t="s">
        <v>176</v>
      </c>
      <c r="B15" s="461"/>
      <c r="C15" s="460" t="s">
        <v>176</v>
      </c>
      <c r="D15" s="727"/>
      <c r="E15" s="727"/>
      <c r="F15" s="727"/>
      <c r="G15" s="461"/>
    </row>
    <row r="16" spans="1:10" s="1" customFormat="1" ht="42" customHeight="1" x14ac:dyDescent="0.55000000000000004">
      <c r="A16" s="460" t="s">
        <v>176</v>
      </c>
      <c r="B16" s="461"/>
      <c r="C16" s="460" t="s">
        <v>176</v>
      </c>
      <c r="D16" s="727"/>
      <c r="E16" s="727"/>
      <c r="F16" s="727"/>
      <c r="G16" s="461"/>
    </row>
    <row r="17" spans="1:7" s="1" customFormat="1" ht="42" customHeight="1" x14ac:dyDescent="0.55000000000000004">
      <c r="A17" s="460" t="s">
        <v>176</v>
      </c>
      <c r="B17" s="461"/>
      <c r="C17" s="460" t="s">
        <v>176</v>
      </c>
      <c r="D17" s="727"/>
      <c r="E17" s="727"/>
      <c r="F17" s="727"/>
      <c r="G17" s="461"/>
    </row>
    <row r="18" spans="1:7" s="1" customFormat="1" ht="42" customHeight="1" x14ac:dyDescent="0.55000000000000004">
      <c r="A18" s="460" t="s">
        <v>176</v>
      </c>
      <c r="B18" s="461"/>
      <c r="C18" s="460" t="s">
        <v>176</v>
      </c>
      <c r="D18" s="727"/>
      <c r="E18" s="727"/>
      <c r="F18" s="727"/>
      <c r="G18" s="461"/>
    </row>
    <row r="19" spans="1:7" s="1" customFormat="1" ht="42" customHeight="1" x14ac:dyDescent="0.55000000000000004">
      <c r="A19" s="460" t="s">
        <v>176</v>
      </c>
      <c r="B19" s="461"/>
      <c r="C19" s="460" t="s">
        <v>176</v>
      </c>
      <c r="D19" s="727"/>
      <c r="E19" s="727"/>
      <c r="F19" s="727"/>
      <c r="G19" s="461"/>
    </row>
    <row r="20" spans="1:7" s="1" customFormat="1" x14ac:dyDescent="0.55000000000000004"/>
    <row r="21" spans="1:7" s="1" customFormat="1" x14ac:dyDescent="0.55000000000000004"/>
    <row r="22" spans="1:7" s="1" customFormat="1" x14ac:dyDescent="0.55000000000000004"/>
    <row r="23" spans="1:7" s="1" customFormat="1" x14ac:dyDescent="0.55000000000000004"/>
    <row r="24" spans="1:7" s="1" customFormat="1" x14ac:dyDescent="0.55000000000000004"/>
  </sheetData>
  <sheetProtection sheet="1" objects="1" scenarios="1" formatRows="0" insertRows="0"/>
  <mergeCells count="13">
    <mergeCell ref="A17:B17"/>
    <mergeCell ref="A18:B18"/>
    <mergeCell ref="A19:B19"/>
    <mergeCell ref="C17:G17"/>
    <mergeCell ref="C18:G18"/>
    <mergeCell ref="C19:G19"/>
    <mergeCell ref="B4:F4"/>
    <mergeCell ref="A14:B14"/>
    <mergeCell ref="A15:B15"/>
    <mergeCell ref="A16:B16"/>
    <mergeCell ref="C14:G14"/>
    <mergeCell ref="C15:G15"/>
    <mergeCell ref="C16:G16"/>
  </mergeCells>
  <conditionalFormatting sqref="G4">
    <cfRule type="cellIs" dxfId="23" priority="6" operator="equal">
      <formula>"หลักสูตรได้มาตรฐาน"</formula>
    </cfRule>
    <cfRule type="cellIs" dxfId="22" priority="7" operator="equal">
      <formula>"หลักสูตรไม่ได้มาตรฐาน"</formula>
    </cfRule>
    <cfRule type="cellIs" dxfId="21" priority="27" stopIfTrue="1" operator="equal">
      <formula>"ไม่ผ่านเกณฑ์มาตรฐาน"</formula>
    </cfRule>
    <cfRule type="cellIs" dxfId="3" priority="28" stopIfTrue="1" operator="equal">
      <formula>"ผ่านเกณฑ์มาตรฐาน"</formula>
    </cfRule>
  </conditionalFormatting>
  <conditionalFormatting sqref="G5 G7:G10">
    <cfRule type="cellIs" dxfId="20" priority="23" stopIfTrue="1" operator="equal">
      <formula>"น้อย"</formula>
    </cfRule>
    <cfRule type="cellIs" dxfId="19" priority="24" stopIfTrue="1" operator="equal">
      <formula>"ปานกลาง"</formula>
    </cfRule>
    <cfRule type="cellIs" dxfId="18" priority="25" stopIfTrue="1" operator="equal">
      <formula>"ดี"</formula>
    </cfRule>
    <cfRule type="cellIs" dxfId="2" priority="26" stopIfTrue="1" operator="equal">
      <formula>"ดีมาก"</formula>
    </cfRule>
  </conditionalFormatting>
  <conditionalFormatting sqref="C11">
    <cfRule type="cellIs" dxfId="17" priority="19" stopIfTrue="1" operator="equal">
      <formula>"น้อย"</formula>
    </cfRule>
    <cfRule type="cellIs" dxfId="16" priority="20" stopIfTrue="1" operator="equal">
      <formula>"ปานกลาง"</formula>
    </cfRule>
    <cfRule type="cellIs" dxfId="15" priority="21" stopIfTrue="1" operator="equal">
      <formula>"ดี"</formula>
    </cfRule>
    <cfRule type="cellIs" dxfId="1" priority="22" stopIfTrue="1" operator="equal">
      <formula>"ดีมาก"</formula>
    </cfRule>
  </conditionalFormatting>
  <conditionalFormatting sqref="E5">
    <cfRule type="cellIs" dxfId="14" priority="18" stopIfTrue="1" operator="equal">
      <formula>"ไม่ประเมิน"</formula>
    </cfRule>
  </conditionalFormatting>
  <conditionalFormatting sqref="E10">
    <cfRule type="cellIs" dxfId="13" priority="17" stopIfTrue="1" operator="equal">
      <formula>"ไม่ประเมิน"</formula>
    </cfRule>
  </conditionalFormatting>
  <conditionalFormatting sqref="F5">
    <cfRule type="cellIs" dxfId="12" priority="16" stopIfTrue="1" operator="equal">
      <formula>"ไม่ประเมิน"</formula>
    </cfRule>
  </conditionalFormatting>
  <conditionalFormatting sqref="G5">
    <cfRule type="cellIs" dxfId="11" priority="15" stopIfTrue="1" operator="equal">
      <formula>"ไม่มีบัณฑิตจบ"</formula>
    </cfRule>
  </conditionalFormatting>
  <conditionalFormatting sqref="B4:F4">
    <cfRule type="cellIs" dxfId="10" priority="8" operator="equal">
      <formula>"ไม่ผ่านการประเมิน"</formula>
    </cfRule>
    <cfRule type="cellIs" dxfId="9" priority="9" operator="equal">
      <formula>"ผ่านการประเมิน"</formula>
    </cfRule>
    <cfRule type="cellIs" dxfId="8" priority="14" stopIfTrue="1" operator="equal">
      <formula>"ไม่ผ่านเกณฑ์มาตรฐาน"</formula>
    </cfRule>
  </conditionalFormatting>
  <conditionalFormatting sqref="D11:F11">
    <cfRule type="cellIs" dxfId="7" priority="2" stopIfTrue="1" operator="equal">
      <formula>"น้อย"</formula>
    </cfRule>
    <cfRule type="cellIs" dxfId="6" priority="3" stopIfTrue="1" operator="equal">
      <formula>"ปานกลาง"</formula>
    </cfRule>
    <cfRule type="cellIs" dxfId="5" priority="4" stopIfTrue="1" operator="equal">
      <formula>"ดี"</formula>
    </cfRule>
    <cfRule type="cellIs" dxfId="0" priority="5" stopIfTrue="1" operator="equal">
      <formula>"ดีมาก"</formula>
    </cfRule>
  </conditionalFormatting>
  <conditionalFormatting sqref="G6">
    <cfRule type="cellIs" dxfId="4" priority="1" stopIfTrue="1" operator="equal">
      <formula>"ไม่ประเมิน"</formula>
    </cfRule>
  </conditionalFormatting>
  <hyperlinks>
    <hyperlink ref="H4" location="ข้อมูลพื้นฐาน!A1" display="Main Menu"/>
    <hyperlink ref="H5" location="ตารางสรุป!A1" display="&lt;&lt; Previois ตารางสรุป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I28"/>
  <sheetViews>
    <sheetView showGridLines="0" zoomScale="115" zoomScaleNormal="115" workbookViewId="0">
      <selection activeCell="G10" sqref="G10"/>
    </sheetView>
  </sheetViews>
  <sheetFormatPr defaultRowHeight="24" x14ac:dyDescent="0.55000000000000004"/>
  <cols>
    <col min="1" max="9" width="9.25" style="2" customWidth="1"/>
  </cols>
  <sheetData>
    <row r="3" spans="1:9" ht="27" x14ac:dyDescent="0.6">
      <c r="A3" s="447" t="s">
        <v>460</v>
      </c>
      <c r="B3" s="447"/>
      <c r="C3" s="447"/>
      <c r="D3" s="447"/>
      <c r="E3" s="447"/>
      <c r="F3" s="447"/>
      <c r="G3" s="447"/>
      <c r="H3" s="447"/>
      <c r="I3" s="447"/>
    </row>
    <row r="4" spans="1:9" ht="27" x14ac:dyDescent="0.6">
      <c r="A4" s="447" t="str">
        <f>"หลักสูตร "&amp;ชื่อหลักสูตร</f>
        <v>หลักสูตร อิเล็กทรอนิกส์สื่อสาร</v>
      </c>
      <c r="B4" s="447"/>
      <c r="C4" s="447"/>
      <c r="D4" s="447"/>
      <c r="E4" s="447"/>
      <c r="F4" s="447"/>
      <c r="G4" s="447"/>
      <c r="H4" s="447"/>
      <c r="I4" s="447"/>
    </row>
    <row r="11" spans="1:9" x14ac:dyDescent="0.55000000000000004">
      <c r="C11" s="446" t="str">
        <f>"("&amp;ข้อมูลพื้นฐาน!B34&amp;")"</f>
        <v>(ชื่อประธานกรรมการ)</v>
      </c>
      <c r="D11" s="446"/>
      <c r="E11" s="446"/>
      <c r="F11" s="446"/>
      <c r="G11" s="446"/>
    </row>
    <row r="12" spans="1:9" x14ac:dyDescent="0.55000000000000004">
      <c r="C12" s="446" t="str">
        <f>ข้อมูลพื้นฐาน!F34</f>
        <v>ประธานกรรมการ</v>
      </c>
      <c r="D12" s="446"/>
      <c r="E12" s="446"/>
      <c r="F12" s="446"/>
      <c r="G12" s="446"/>
    </row>
    <row r="14" spans="1:9" ht="42" customHeight="1" x14ac:dyDescent="0.55000000000000004"/>
    <row r="15" spans="1:9" x14ac:dyDescent="0.55000000000000004">
      <c r="C15" s="446" t="str">
        <f>"("&amp;ข้อมูลพื้นฐาน!B35&amp;")"</f>
        <v>(ชื่อกรรมการ)</v>
      </c>
      <c r="D15" s="446"/>
      <c r="E15" s="446"/>
      <c r="F15" s="446"/>
      <c r="G15" s="446"/>
    </row>
    <row r="16" spans="1:9" x14ac:dyDescent="0.55000000000000004">
      <c r="C16" s="446" t="str">
        <f>ข้อมูลพื้นฐาน!F35</f>
        <v>กรรมการ</v>
      </c>
      <c r="D16" s="446"/>
      <c r="E16" s="446"/>
      <c r="F16" s="446"/>
      <c r="G16" s="446"/>
    </row>
    <row r="18" spans="3:7" ht="42.75" customHeight="1" x14ac:dyDescent="0.55000000000000004"/>
    <row r="19" spans="3:7" x14ac:dyDescent="0.55000000000000004">
      <c r="C19" s="446" t="str">
        <f>"("&amp;ข้อมูลพื้นฐาน!B36&amp;")"</f>
        <v>(ชื่อกรรมการ)</v>
      </c>
      <c r="D19" s="446"/>
      <c r="E19" s="446"/>
      <c r="F19" s="446"/>
      <c r="G19" s="446"/>
    </row>
    <row r="20" spans="3:7" x14ac:dyDescent="0.55000000000000004">
      <c r="C20" s="446" t="str">
        <f>ข้อมูลพื้นฐาน!F36</f>
        <v>กรรมการและเลขานุการ</v>
      </c>
      <c r="D20" s="446"/>
      <c r="E20" s="446"/>
      <c r="F20" s="446"/>
      <c r="G20" s="446"/>
    </row>
    <row r="22" spans="3:7" ht="42.75" customHeight="1" x14ac:dyDescent="0.55000000000000004"/>
    <row r="23" spans="3:7" x14ac:dyDescent="0.55000000000000004">
      <c r="C23" s="446" t="str">
        <f>IF(ข้อมูลพื้นฐาน!B37=0,"","("&amp;ข้อมูลพื้นฐาน!B37&amp;")")</f>
        <v/>
      </c>
      <c r="D23" s="446"/>
      <c r="E23" s="446"/>
      <c r="F23" s="446"/>
      <c r="G23" s="446"/>
    </row>
    <row r="24" spans="3:7" x14ac:dyDescent="0.55000000000000004">
      <c r="C24" s="446" t="str">
        <f>IF(ข้อมูลพื้นฐาน!B37=0,"",ข้อมูลพื้นฐาน!F37)</f>
        <v/>
      </c>
      <c r="D24" s="446"/>
      <c r="E24" s="446"/>
      <c r="F24" s="446"/>
      <c r="G24" s="446"/>
    </row>
    <row r="26" spans="3:7" ht="39.75" customHeight="1" x14ac:dyDescent="0.55000000000000004"/>
    <row r="27" spans="3:7" x14ac:dyDescent="0.55000000000000004">
      <c r="C27" s="446" t="str">
        <f>IF(ข้อมูลพื้นฐาน!B38=0,"","("&amp;ข้อมูลพื้นฐาน!B38&amp;")")</f>
        <v/>
      </c>
      <c r="D27" s="446"/>
      <c r="E27" s="446"/>
      <c r="F27" s="446"/>
      <c r="G27" s="446"/>
    </row>
    <row r="28" spans="3:7" x14ac:dyDescent="0.55000000000000004">
      <c r="C28" s="446" t="str">
        <f>IF(ข้อมูลพื้นฐาน!B38=0,"",ข้อมูลพื้นฐาน!F38)</f>
        <v/>
      </c>
      <c r="D28" s="446"/>
      <c r="E28" s="446"/>
      <c r="F28" s="446"/>
      <c r="G28" s="446"/>
    </row>
  </sheetData>
  <sheetProtection sheet="1" objects="1" scenarios="1" formatCells="0" formatColumns="0" formatRows="0" insertColumns="0" insertRows="0"/>
  <mergeCells count="12">
    <mergeCell ref="C28:G28"/>
    <mergeCell ref="A3:I3"/>
    <mergeCell ref="A4:I4"/>
    <mergeCell ref="C11:G11"/>
    <mergeCell ref="C12:G12"/>
    <mergeCell ref="C15:G15"/>
    <mergeCell ref="C16:G16"/>
    <mergeCell ref="C19:G19"/>
    <mergeCell ref="C20:G20"/>
    <mergeCell ref="C23:G23"/>
    <mergeCell ref="C24:G24"/>
    <mergeCell ref="C27:G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D68"/>
  <sheetViews>
    <sheetView showGridLines="0" zoomScale="115" zoomScaleNormal="115" zoomScaleSheetLayoutView="115" workbookViewId="0">
      <selection activeCell="B9" sqref="B9"/>
    </sheetView>
  </sheetViews>
  <sheetFormatPr defaultRowHeight="24" x14ac:dyDescent="0.55000000000000004"/>
  <cols>
    <col min="1" max="1" width="9.5" style="2" customWidth="1"/>
    <col min="2" max="2" width="75.625" style="2" customWidth="1"/>
    <col min="3" max="3" width="15.5" style="2" customWidth="1"/>
    <col min="4" max="4" width="245.625" style="2" hidden="1" customWidth="1"/>
    <col min="5" max="16384" width="9" style="2"/>
  </cols>
  <sheetData>
    <row r="1" spans="2:4" ht="32.25" x14ac:dyDescent="0.55000000000000004">
      <c r="B1" s="102" t="s">
        <v>264</v>
      </c>
    </row>
    <row r="3" spans="2:4" ht="126.75" customHeight="1" x14ac:dyDescent="0.55000000000000004">
      <c r="B3" s="270" t="str">
        <f>"          รายงานผลการประเมินคุณภาพการศึกษาภายใน หลักสูตร "&amp;ชื่อหลักสูตร&amp;" ระดับ"&amp;ระดับ&amp;"  "&amp;D3</f>
        <v xml:space="preserve">          รายงานผลการประเมินคุณภาพการศึกษาภายใน หลักสูตร อิเล็กทรอนิกส์สื่อสาร ระดับปริญญาตรี (2558)  เป็นผลการประเมินคุณภาพการศึกษา ปีการศึกษา 2563 ตามกรอบมาตรฐานคุณวุฒิระดับอุดมศึกษาแห่งชาติของสำนักงานคณะกรรมการการอุดมศึกษา โดยมีจุดมุ่งหมายเพื่อตรวจสอบยืนยันสภาพจริงในการดำเนินงานของหลักสูตรให้ได้ข้อมูลที่สะท้อนถึงอัตลักษณ์ และผลสำเร็จของการดำเนินงานตามกรอบมาตรฐานคุณวุฒิ ระดับอุดมศึกษา</v>
      </c>
      <c r="D3" s="103" t="str">
        <f>"เป็นผลการประเมินคุณภาพการศึกษา ปีการศึกษา "&amp;ปีประเมิน&amp;" ตามกรอบมาตรฐานคุณวุฒิระดับอุดมศึกษาแห่งชาติของสำนักงานคณะกรรมการการอุดมศึกษา โดยมีจุดมุ่งหมายเพื่อตรวจสอบยืนยันสภาพจริงในการดำเนินงานของหลักสูตรให้ได้ข้อมูลที่สะท้อนถึงอัตลักษณ์ และผลสำเร็จของการดำเนินงานตามกรอบมาตรฐานคุณวุฒิ ระดับอุดมศึกษา"</f>
        <v>เป็นผลการประเมินคุณภาพการศึกษา ปีการศึกษา 2563 ตามกรอบมาตรฐานคุณวุฒิระดับอุดมศึกษาแห่งชาติของสำนักงานคณะกรรมการการอุดมศึกษา โดยมีจุดมุ่งหมายเพื่อตรวจสอบยืนยันสภาพจริงในการดำเนินงานของหลักสูตรให้ได้ข้อมูลที่สะท้อนถึงอัตลักษณ์ และผลสำเร็จของการดำเนินงานตามกรอบมาตรฐานคุณวุฒิ ระดับอุดมศึกษา</v>
      </c>
    </row>
    <row r="4" spans="2:4" ht="126.75" customHeight="1" x14ac:dyDescent="0.55000000000000004">
      <c r="B4" s="270" t="str">
        <f>"          การประเมินคุณภาพการศึกษาภายใน ระดับหลักสูตร เป็นไปตามคู่มือการประกันคุณภาพภายใน ระดับอุดมศึกษา พ.ศ.2557 โดยมีจำนวนองค์ประกอบ ตัวบ่งชี้ที่ประเมินรวมทั้งสิ้น 6 องค์ประกอบ  "&amp;ตารางสรุป!G50&amp;"  ตัวบ่งชี้ โดยสรุปผลการประเมินคุณภาพการศึกษาภายใน ระดับหลักสูตรตามระบบและกลไกการประกันคุณภาพการศึกษาและสรุปผลการประเมินคุณภาพการศึกษาภายในระดับหลักสูตรตามกรอบมาตรฐานคุณวุฒิระดับอุดมศึกษาแห่งชาติ"</f>
        <v xml:space="preserve">          การประเมินคุณภาพการศึกษาภายใน ระดับหลักสูตร เป็นไปตามคู่มือการประกันคุณภาพภายใน ระดับอุดมศึกษา พ.ศ.2557 โดยมีจำนวนองค์ประกอบ ตัวบ่งชี้ที่ประเมินรวมทั้งสิ้น 6 องค์ประกอบ  13  ตัวบ่งชี้ โดยสรุปผลการประเมินคุณภาพการศึกษาภายใน ระดับหลักสูตรตามระบบและกลไกการประกันคุณภาพการศึกษาและสรุปผลการประเมินคุณภาพการศึกษาภายในระดับหลักสูตรตามกรอบมาตรฐานคุณวุฒิระดับอุดมศึกษาแห่งชาติ</v>
      </c>
    </row>
    <row r="5" spans="2:4" ht="68.25" customHeight="1" x14ac:dyDescent="0.55000000000000004">
      <c r="B5" s="271" t="str">
        <f>"          คณะผู้ประเมินขอขอบคุณประธานหลักสูตร คณาจารย์ นักศึกษา ทุกท่านที่ให้ความร่วมมือให้ข้อมูลเพื่อให้การประกันคุณภาพการศึกษาสำเร็จลุล่วงไปด้วยดี และนำไปสู่การพัฒนาคุณภาพการศึกษาระดับคณะและมหาวิทยาลัยต่อไป"</f>
        <v xml:space="preserve">          คณะผู้ประเมินขอขอบคุณประธานหลักสูตร คณาจารย์ นักศึกษา ทุกท่านที่ให้ความร่วมมือให้ข้อมูลเพื่อให้การประกันคุณภาพการศึกษาสำเร็จลุล่วงไปด้วยดี และนำไปสู่การพัฒนาคุณภาพการศึกษาระดับคณะและมหาวิทยาลัยต่อไป</v>
      </c>
    </row>
    <row r="6" spans="2:4" x14ac:dyDescent="0.55000000000000004">
      <c r="B6" s="272"/>
    </row>
    <row r="7" spans="2:4" x14ac:dyDescent="0.55000000000000004">
      <c r="B7" s="272"/>
    </row>
    <row r="8" spans="2:4" x14ac:dyDescent="0.55000000000000004">
      <c r="B8" s="273" t="s">
        <v>266</v>
      </c>
    </row>
    <row r="9" spans="2:4" x14ac:dyDescent="0.55000000000000004">
      <c r="B9" s="274" t="str">
        <f>"("&amp;ข้อมูลพื้นฐาน!B34&amp;")"</f>
        <v>(ชื่อประธานกรรมการ)</v>
      </c>
    </row>
    <row r="10" spans="2:4" x14ac:dyDescent="0.55000000000000004">
      <c r="B10" s="273" t="s">
        <v>265</v>
      </c>
    </row>
    <row r="11" spans="2:4" x14ac:dyDescent="0.55000000000000004">
      <c r="B11" s="273" t="str">
        <f>"ประจำปีการศึกษา "&amp;ปีประเมิน</f>
        <v>ประจำปีการศึกษา 2563</v>
      </c>
    </row>
    <row r="12" spans="2:4" x14ac:dyDescent="0.55000000000000004">
      <c r="B12" s="273" t="str">
        <f>"วันที่ "&amp;หน้าปก!E25&amp;" "&amp;หน้าปก!F25&amp;" "&amp;หน้าปก!G25</f>
        <v>วันที่ 3 กรกฎาคม 2561</v>
      </c>
    </row>
    <row r="13" spans="2:4" x14ac:dyDescent="0.55000000000000004">
      <c r="B13" s="272"/>
    </row>
    <row r="14" spans="2:4" x14ac:dyDescent="0.55000000000000004">
      <c r="B14" s="272"/>
    </row>
    <row r="15" spans="2:4" x14ac:dyDescent="0.55000000000000004">
      <c r="B15" s="272"/>
    </row>
    <row r="16" spans="2:4" x14ac:dyDescent="0.55000000000000004">
      <c r="B16" s="272"/>
    </row>
    <row r="17" spans="2:2" x14ac:dyDescent="0.55000000000000004">
      <c r="B17" s="272"/>
    </row>
    <row r="18" spans="2:2" x14ac:dyDescent="0.55000000000000004">
      <c r="B18" s="272"/>
    </row>
    <row r="19" spans="2:2" x14ac:dyDescent="0.55000000000000004">
      <c r="B19" s="272"/>
    </row>
    <row r="20" spans="2:2" x14ac:dyDescent="0.55000000000000004">
      <c r="B20" s="272"/>
    </row>
    <row r="21" spans="2:2" x14ac:dyDescent="0.55000000000000004">
      <c r="B21" s="272"/>
    </row>
    <row r="22" spans="2:2" x14ac:dyDescent="0.55000000000000004">
      <c r="B22" s="272"/>
    </row>
    <row r="23" spans="2:2" x14ac:dyDescent="0.55000000000000004">
      <c r="B23" s="272"/>
    </row>
    <row r="24" spans="2:2" x14ac:dyDescent="0.55000000000000004">
      <c r="B24" s="272"/>
    </row>
    <row r="25" spans="2:2" x14ac:dyDescent="0.55000000000000004">
      <c r="B25" s="272"/>
    </row>
    <row r="26" spans="2:2" x14ac:dyDescent="0.55000000000000004">
      <c r="B26" s="272"/>
    </row>
    <row r="27" spans="2:2" x14ac:dyDescent="0.55000000000000004">
      <c r="B27" s="272"/>
    </row>
    <row r="28" spans="2:2" ht="30" x14ac:dyDescent="0.55000000000000004">
      <c r="B28" s="275" t="s">
        <v>267</v>
      </c>
    </row>
    <row r="29" spans="2:2" x14ac:dyDescent="0.55000000000000004">
      <c r="B29" s="272"/>
    </row>
    <row r="30" spans="2:2" ht="216" x14ac:dyDescent="0.55000000000000004">
      <c r="B30" s="276" t="str">
        <f>"         คณะกรรมการประเมินคุณภาพการศึกษาภายใน ได้ดำเนินการตรวจประเมินคุณภาพการศึกษาของหลักสูตร "&amp;ชื่อปริญญา&amp;" สาขา "&amp;ชื่อหลักสูตร&amp;" คณะ"&amp;คณะ &amp;" ประจำรอบปีการศึกษา "&amp;ปีประเมิน&amp;" ในวันที่ "&amp;หน้าปก!E25&amp;" เดือน "&amp;หน้าปก!F25&amp;" "&amp;หน้าปก!G25&amp;" ตามองค์ประกอบและตัวบ่งชี้ พบว่า ในภาพรวมของหลักสูตรผลการประเมินอยู่ในระดับ "&amp;ตารางวิเคราะห์!F10&amp;" ซึ่งจัดอยู่ในเกณฑ์คุณภาพ "&amp;ตารางวิเคราะห์!G10&amp;" โดยองค์ประกอบที่ 1 (ตัวบ่งชี้ที่ 1.1) หลักสูตร "&amp;ชื่อปริญญา&amp;" สาขาวิชา "&amp;ชื่อหลักสูตร&amp;"  "&amp;ตารางวิเคราะห์!B4&amp;" "&amp;ตารางวิเคราะห์!G4&amp;" และ "&amp;ตารางวิเคราะห์!I5&amp;" "&amp;ตารางวิเคราะห์!I6&amp;" "&amp;ตารางวิเคราะห์!I7&amp;" "&amp;ตารางวิเคราะห์!I8&amp;" และ "&amp;ตารางวิเคราะห์!I9</f>
        <v xml:space="preserve">         คณะกรรมการประเมินคุณภาพการศึกษาภายใน ได้ดำเนินการตรวจประเมินคุณภาพการศึกษาของหลักสูตร วิทยาศาสตรบัณฑิต สาขา อิเล็กทรอนิกส์สื่อสาร คณะเทคโนโลยีอุตสาหกรรม ประจำรอบปีการศึกษา 2563 ในวันที่ 3 เดือน กรกฎาคม 2561 ตามองค์ประกอบและตัวบ่งชี้ พบว่า ในภาพรวมของหลักสูตรผลการประเมินอยู่ในระดับ 3.11 ซึ่งจัดอยู่ในเกณฑ์คุณภาพ ดี โดยองค์ประกอบที่ 1 (ตัวบ่งชี้ที่ 1.1) หลักสูตร วิทยาศาสตรบัณฑิต สาขาวิชา อิเล็กทรอนิกส์สื่อสาร  ผ่านการประเมิน หลักสูตรได้มาตรฐาน และ องค์ประกอบที่ 2) บัณฑิต 4.05 อยู่ในระดับ ดีมาก องค์ประกอบที่ 3) นักศึกษา 3 อยู่ในระดับ ปานกลาง องค์ประกอบที่ 4) อาจารย์ 2.46 อยู่ในระดับ ปานกลาง องค์ประกอบที่ 5) หลักสูตร การเรียนการสอน การประเมินผู้เรียน 3.25 อยู่ในระดับ ดี และ องค์ประกอบที่ 6) สิ่งสนับสนุนการเรียนรู้ 3 อยู่ในระดับ ปานกลาง</v>
      </c>
    </row>
    <row r="31" spans="2:2" x14ac:dyDescent="0.55000000000000004">
      <c r="B31" s="277"/>
    </row>
    <row r="32" spans="2:2" x14ac:dyDescent="0.55000000000000004">
      <c r="B32" s="278" t="s">
        <v>268</v>
      </c>
    </row>
    <row r="33" spans="2:2" x14ac:dyDescent="0.55000000000000004">
      <c r="B33" s="279" t="s">
        <v>269</v>
      </c>
    </row>
    <row r="34" spans="2:2" s="1" customFormat="1" ht="40.5" customHeight="1" x14ac:dyDescent="0.55000000000000004">
      <c r="B34" s="280" t="str">
        <f>ตารางวิเคราะห์!A15</f>
        <v xml:space="preserve"> </v>
      </c>
    </row>
    <row r="35" spans="2:2" s="1" customFormat="1" ht="40.5" customHeight="1" x14ac:dyDescent="0.55000000000000004">
      <c r="B35" s="280" t="str">
        <f>ตารางวิเคราะห์!A16</f>
        <v xml:space="preserve"> </v>
      </c>
    </row>
    <row r="36" spans="2:2" s="1" customFormat="1" ht="40.5" customHeight="1" x14ac:dyDescent="0.55000000000000004">
      <c r="B36" s="280" t="str">
        <f>ตารางวิเคราะห์!A17</f>
        <v xml:space="preserve"> </v>
      </c>
    </row>
    <row r="37" spans="2:2" s="1" customFormat="1" ht="40.5" customHeight="1" x14ac:dyDescent="0.55000000000000004">
      <c r="B37" s="280" t="str">
        <f>ตารางวิเคราะห์!A18</f>
        <v xml:space="preserve"> </v>
      </c>
    </row>
    <row r="38" spans="2:2" s="1" customFormat="1" ht="40.5" customHeight="1" x14ac:dyDescent="0.55000000000000004">
      <c r="B38" s="280" t="str">
        <f>ตารางวิเคราะห์!A19</f>
        <v xml:space="preserve"> </v>
      </c>
    </row>
    <row r="39" spans="2:2" x14ac:dyDescent="0.55000000000000004">
      <c r="B39" s="279" t="s">
        <v>240</v>
      </c>
    </row>
    <row r="40" spans="2:2" s="1" customFormat="1" ht="42.75" customHeight="1" x14ac:dyDescent="0.55000000000000004">
      <c r="B40" s="281" t="str">
        <f>ตารางวิเคราะห์!C15</f>
        <v xml:space="preserve"> </v>
      </c>
    </row>
    <row r="41" spans="2:2" s="1" customFormat="1" ht="42.75" customHeight="1" x14ac:dyDescent="0.55000000000000004">
      <c r="B41" s="281" t="str">
        <f>ตารางวิเคราะห์!C16</f>
        <v xml:space="preserve"> </v>
      </c>
    </row>
    <row r="42" spans="2:2" s="1" customFormat="1" ht="42.75" customHeight="1" x14ac:dyDescent="0.55000000000000004">
      <c r="B42" s="281" t="str">
        <f>ตารางวิเคราะห์!C17</f>
        <v xml:space="preserve"> </v>
      </c>
    </row>
    <row r="43" spans="2:2" s="1" customFormat="1" ht="42.75" customHeight="1" x14ac:dyDescent="0.55000000000000004">
      <c r="B43" s="281" t="str">
        <f>ตารางวิเคราะห์!C18</f>
        <v xml:space="preserve"> </v>
      </c>
    </row>
    <row r="44" spans="2:2" s="1" customFormat="1" ht="42.75" customHeight="1" x14ac:dyDescent="0.55000000000000004">
      <c r="B44" s="281" t="str">
        <f>ตารางวิเคราะห์!C19</f>
        <v xml:space="preserve"> </v>
      </c>
    </row>
    <row r="45" spans="2:2" x14ac:dyDescent="0.55000000000000004">
      <c r="B45" s="282"/>
    </row>
    <row r="46" spans="2:2" x14ac:dyDescent="0.55000000000000004">
      <c r="B46" s="272"/>
    </row>
    <row r="58" spans="1:1" x14ac:dyDescent="0.55000000000000004">
      <c r="A58" s="103"/>
    </row>
    <row r="59" spans="1:1" x14ac:dyDescent="0.55000000000000004">
      <c r="A59" s="103"/>
    </row>
    <row r="60" spans="1:1" x14ac:dyDescent="0.55000000000000004">
      <c r="A60" s="103"/>
    </row>
    <row r="61" spans="1:1" x14ac:dyDescent="0.55000000000000004">
      <c r="A61" s="103"/>
    </row>
    <row r="62" spans="1:1" x14ac:dyDescent="0.55000000000000004">
      <c r="A62" s="103"/>
    </row>
    <row r="63" spans="1:1" x14ac:dyDescent="0.55000000000000004">
      <c r="A63" s="103"/>
    </row>
    <row r="64" spans="1:1" x14ac:dyDescent="0.55000000000000004">
      <c r="A64" s="103"/>
    </row>
    <row r="65" spans="1:1" x14ac:dyDescent="0.55000000000000004">
      <c r="A65" s="103"/>
    </row>
    <row r="66" spans="1:1" x14ac:dyDescent="0.55000000000000004">
      <c r="A66" s="103"/>
    </row>
    <row r="67" spans="1:1" x14ac:dyDescent="0.55000000000000004">
      <c r="A67" s="103"/>
    </row>
    <row r="68" spans="1:1" x14ac:dyDescent="0.55000000000000004">
      <c r="A68" s="103"/>
    </row>
  </sheetData>
  <sheetProtection sheet="1" objects="1" scenarios="1" formatCells="0" formatRows="0" insertRows="0" deleteRows="0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18"/>
  <sheetViews>
    <sheetView showGridLines="0" topLeftCell="A15" zoomScale="115" zoomScaleNormal="115" zoomScaleSheetLayoutView="115" workbookViewId="0">
      <selection activeCell="B4" sqref="B4"/>
    </sheetView>
  </sheetViews>
  <sheetFormatPr defaultRowHeight="24" x14ac:dyDescent="0.55000000000000004"/>
  <cols>
    <col min="1" max="1" width="9" style="2"/>
    <col min="2" max="2" width="75.75" style="2" customWidth="1"/>
    <col min="3" max="3" width="9" style="2"/>
    <col min="4" max="4" width="48.125" style="144" hidden="1" customWidth="1"/>
    <col min="5" max="16384" width="9" style="2"/>
  </cols>
  <sheetData>
    <row r="1" spans="2:4" x14ac:dyDescent="0.55000000000000004">
      <c r="B1" s="104" t="s">
        <v>270</v>
      </c>
    </row>
    <row r="2" spans="2:4" x14ac:dyDescent="0.55000000000000004">
      <c r="B2" s="104" t="s">
        <v>271</v>
      </c>
    </row>
    <row r="3" spans="2:4" x14ac:dyDescent="0.55000000000000004">
      <c r="B3" s="104" t="s">
        <v>278</v>
      </c>
    </row>
    <row r="4" spans="2:4" ht="144" x14ac:dyDescent="0.55000000000000004">
      <c r="B4" s="210" t="str">
        <f>"          คณะ"&amp;คณะ&amp;"  "&amp;มหาวิทยาลัย&amp;"  "&amp;"ได้จัดทำคำสั่งแต่งตั้งคณะกรรมการประเมินคุณภาพภายในระดับหลักสูตร"&amp;ชื่อหลักสูตร&amp;"  โดยกำหนดวันประเมินระหว่าง "&amp;คำนำ!B12&amp;" และได้มีการประชุมคณะกรรมการก่อนการตรวจประเมิน "&amp;D4</f>
        <v xml:space="preserve">          คณะเทคโนโลยีอุตสาหกรรม  มหาวิทยาลัยราชภัฏบุรีรัมย์  ได้จัดทำคำสั่งแต่งตั้งคณะกรรมการประเมินคุณภาพภายในระดับหลักสูตรอิเล็กทรอนิกส์สื่อสาร  โดยกำหนดวันประเมินระหว่าง วันที่ 3 กรกฎาคม 2561 และได้มีการประชุมคณะกรรมการก่อนการตรวจประเมิน เมื่อวันที่ 3 กรกฎาคม 2561 เพื่อร่วมกันวิเคราะห์ข้อมูลตามมาตรฐานและเกณฑ์ประเมินของแต่ละตัวบ่งชี้ และรายงานการประเมินตนเอง (SAR) กำหนดประเด็นที่ต้องตรวจสอบระหว่างการตรวจประเมิน วางแผนการตรวจประเมิน มอบหมายภาระงานให้คณะกรรมการประเมินแต่ละคนปฏิบัติ </v>
      </c>
      <c r="D4" s="215" t="str">
        <f>"เมื่อ"&amp;คำนำ!B12&amp;" เพื่อร่วมกันวิเคราะห์ข้อมูลตามมาตรฐานและเกณฑ์ประเมินของแต่ละตัวบ่งชี้ และรายงานการประเมินตนเอง (SAR) กำหนดประเด็นที่ต้องตรวจสอบระหว่างการตรวจประเมิน วางแผนการตรวจประเมิน มอบหมายภาระงานให้คณะกรรมการประเมินแต่ละคนปฏิบัติ "</f>
        <v xml:space="preserve">เมื่อวันที่ 3 กรกฎาคม 2561 เพื่อร่วมกันวิเคราะห์ข้อมูลตามมาตรฐานและเกณฑ์ประเมินของแต่ละตัวบ่งชี้ และรายงานการประเมินตนเอง (SAR) กำหนดประเด็นที่ต้องตรวจสอบระหว่างการตรวจประเมิน วางแผนการตรวจประเมิน มอบหมายภาระงานให้คณะกรรมการประเมินแต่ละคนปฏิบัติ </v>
      </c>
    </row>
    <row r="5" spans="2:4" x14ac:dyDescent="0.55000000000000004">
      <c r="B5" s="212" t="s">
        <v>322</v>
      </c>
    </row>
    <row r="6" spans="2:4" ht="72" x14ac:dyDescent="0.55000000000000004">
      <c r="B6" s="217" t="s">
        <v>279</v>
      </c>
    </row>
    <row r="7" spans="2:4" ht="48" x14ac:dyDescent="0.55000000000000004">
      <c r="B7" s="211" t="s">
        <v>310</v>
      </c>
    </row>
    <row r="8" spans="2:4" ht="48" x14ac:dyDescent="0.55000000000000004">
      <c r="B8" s="217" t="s">
        <v>280</v>
      </c>
    </row>
    <row r="9" spans="2:4" ht="48" x14ac:dyDescent="0.55000000000000004">
      <c r="B9" s="217" t="s">
        <v>281</v>
      </c>
    </row>
    <row r="10" spans="2:4" ht="48" x14ac:dyDescent="0.55000000000000004">
      <c r="B10" s="217" t="s">
        <v>282</v>
      </c>
    </row>
    <row r="11" spans="2:4" x14ac:dyDescent="0.55000000000000004">
      <c r="B11" s="213" t="s">
        <v>283</v>
      </c>
    </row>
    <row r="12" spans="2:4" ht="48" x14ac:dyDescent="0.55000000000000004">
      <c r="B12" s="217" t="s">
        <v>284</v>
      </c>
    </row>
    <row r="13" spans="2:4" ht="120" x14ac:dyDescent="0.55000000000000004">
      <c r="B13" s="214" t="str">
        <f>"       (2) คณะกรรมการผู้ประเมินได้มีการประชุมทบทวนร่างรายงานผลการประเมิน และประสานกับผู้รับผิดชอบงานประกันคุณภาพการศึกษา เพื่อให้ตรวจสอบยืนยันความถูกต้องหรือทักท้วง หลังจากนั้นคณะกรรมการผู้ประเมินทำการปรับปรุงแก้ไข"&amp;D13</f>
        <v xml:space="preserve">       (2) คณะกรรมการผู้ประเมินได้มีการประชุมทบทวนร่างรายงานผลการประเมิน และประสานกับผู้รับผิดชอบงานประกันคุณภาพการศึกษา เพื่อให้ตรวจสอบยืนยันความถูกต้องหรือทักท้วง หลังจากนั้นคณะกรรมการผู้ประเมินทำการปรับปรุงแก้ไขและจัดทำเอกสารเสนอผลการประเมินเป็นลายลักษณ์อักษร เสนอไปยังหลักสูตรอิเล็กทรอนิกส์สื่อสาร  เทคโนโลยีอุตสาหกรรม  มหาวิทยาลัยราชภัฏบุรีรัมย์  เพื่อดำเนินการต่อไป</v>
      </c>
      <c r="D13" s="144" t="str">
        <f>"และจัดทำเอกสารเสนอผลการประเมินเป็นลายลักษณ์อักษร เสนอไปยังหลักสูตร"&amp;ชื่อหลักสูตร&amp;"  "&amp;คณะ&amp;"  "&amp;มหาวิทยาลัย&amp;"  เพื่อดำเนินการต่อไป"</f>
        <v>และจัดทำเอกสารเสนอผลการประเมินเป็นลายลักษณ์อักษร เสนอไปยังหลักสูตรอิเล็กทรอนิกส์สื่อสาร  เทคโนโลยีอุตสาหกรรม  มหาวิทยาลัยราชภัฏบุรีรัมย์  เพื่อดำเนินการต่อไป</v>
      </c>
    </row>
    <row r="14" spans="2:4" x14ac:dyDescent="0.55000000000000004">
      <c r="B14" s="213" t="s">
        <v>272</v>
      </c>
    </row>
    <row r="15" spans="2:4" ht="72" x14ac:dyDescent="0.55000000000000004">
      <c r="B15" s="217" t="s">
        <v>273</v>
      </c>
    </row>
    <row r="16" spans="2:4" ht="96" x14ac:dyDescent="0.55000000000000004">
      <c r="B16" s="217" t="s">
        <v>321</v>
      </c>
    </row>
    <row r="17" spans="2:2" x14ac:dyDescent="0.55000000000000004">
      <c r="B17" s="217" t="s">
        <v>274</v>
      </c>
    </row>
    <row r="18" spans="2:2" x14ac:dyDescent="0.55000000000000004">
      <c r="B18" s="103"/>
    </row>
  </sheetData>
  <sheetProtection sheet="1" objects="1" scenarios="1" formatCells="0" formatRows="0" insertRows="0" deleteRow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62"/>
  <sheetViews>
    <sheetView showGridLines="0" topLeftCell="B1" zoomScale="115" zoomScaleNormal="115" zoomScaleSheetLayoutView="100" workbookViewId="0">
      <selection activeCell="B5" sqref="B5:G5"/>
    </sheetView>
  </sheetViews>
  <sheetFormatPr defaultRowHeight="24" x14ac:dyDescent="0.55000000000000004"/>
  <cols>
    <col min="1" max="1" width="9" style="2"/>
    <col min="2" max="2" width="5.125" style="2" customWidth="1"/>
    <col min="3" max="3" width="26.25" style="2" customWidth="1"/>
    <col min="4" max="4" width="7.625" style="2" customWidth="1"/>
    <col min="5" max="6" width="14.125" style="2" customWidth="1"/>
    <col min="7" max="7" width="8.625" style="2" customWidth="1"/>
    <col min="8" max="8" width="58.75" style="2" customWidth="1"/>
    <col min="9" max="10" width="0" style="2" hidden="1" customWidth="1"/>
    <col min="11" max="16384" width="9" style="2"/>
  </cols>
  <sheetData>
    <row r="1" spans="2:8" ht="30" x14ac:dyDescent="0.55000000000000004">
      <c r="B1" s="451" t="s">
        <v>285</v>
      </c>
      <c r="C1" s="451"/>
      <c r="D1" s="451"/>
      <c r="E1" s="451"/>
      <c r="F1" s="451"/>
      <c r="G1" s="451"/>
    </row>
    <row r="2" spans="2:8" ht="30" x14ac:dyDescent="0.55000000000000004">
      <c r="B2" s="451" t="s">
        <v>286</v>
      </c>
      <c r="C2" s="451"/>
      <c r="D2" s="451"/>
      <c r="E2" s="451"/>
      <c r="F2" s="451"/>
      <c r="G2" s="451"/>
    </row>
    <row r="3" spans="2:8" x14ac:dyDescent="0.55000000000000004">
      <c r="B3" s="37"/>
    </row>
    <row r="4" spans="2:8" x14ac:dyDescent="0.55000000000000004">
      <c r="B4" s="37" t="s">
        <v>292</v>
      </c>
    </row>
    <row r="5" spans="2:8" x14ac:dyDescent="0.55000000000000004">
      <c r="B5" s="454" t="str">
        <f>"     "&amp;"หลักสูตร : "&amp;ชื่อปริญญา&amp;" สาขาวิชา : "&amp;ชื่อหลักสูตร</f>
        <v xml:space="preserve">     หลักสูตร : วิทยาศาสตรบัณฑิต สาขาวิชา : อิเล็กทรอนิกส์สื่อสาร</v>
      </c>
      <c r="C5" s="454"/>
      <c r="D5" s="454"/>
      <c r="E5" s="454"/>
      <c r="F5" s="454"/>
      <c r="G5" s="454"/>
    </row>
    <row r="6" spans="2:8" x14ac:dyDescent="0.55000000000000004">
      <c r="B6" s="108" t="str">
        <f>"     ชื่อย่อ : "&amp;ชื่อย่อ&amp;"("&amp;ชื่อหลักสูตร&amp;")"</f>
        <v xml:space="preserve">     ชื่อย่อ : วท.บ.(อิเล็กทรอนิกส์สื่อสาร)</v>
      </c>
      <c r="C6" s="217"/>
      <c r="D6" s="217"/>
      <c r="E6" s="217"/>
      <c r="F6" s="217"/>
      <c r="G6" s="217"/>
    </row>
    <row r="7" spans="2:8" x14ac:dyDescent="0.55000000000000004">
      <c r="B7" s="105" t="str">
        <f>"     "&amp;"ชื่อภาษาอังกฤษ : "&amp;ชื่ออังกฤษ</f>
        <v xml:space="preserve">     ชื่อภาษาอังกฤษ : Electronic Communications</v>
      </c>
    </row>
    <row r="8" spans="2:8" x14ac:dyDescent="0.55000000000000004">
      <c r="B8" s="105" t="str">
        <f>"     "&amp;"คณะ : "&amp;คณะ&amp;"  "&amp;มหาวิทยาลัย</f>
        <v xml:space="preserve">     คณะ : เทคโนโลยีอุตสาหกรรม  มหาวิทยาลัยราชภัฏบุรีรัมย์</v>
      </c>
    </row>
    <row r="9" spans="2:8" x14ac:dyDescent="0.55000000000000004">
      <c r="B9" s="4" t="s">
        <v>291</v>
      </c>
      <c r="D9" s="453">
        <v>1234567890</v>
      </c>
      <c r="E9" s="453"/>
      <c r="F9" s="453"/>
      <c r="H9" s="2" t="s">
        <v>306</v>
      </c>
    </row>
    <row r="10" spans="2:8" x14ac:dyDescent="0.55000000000000004">
      <c r="B10" s="4" t="s">
        <v>290</v>
      </c>
    </row>
    <row r="11" spans="2:8" s="113" customFormat="1" ht="238.5" customHeight="1" x14ac:dyDescent="0.55000000000000004">
      <c r="B11" s="111"/>
      <c r="C11" s="452"/>
      <c r="D11" s="452"/>
      <c r="E11" s="452"/>
      <c r="F11" s="452"/>
      <c r="G11" s="452"/>
      <c r="H11" s="112" t="s">
        <v>307</v>
      </c>
    </row>
    <row r="12" spans="2:8" x14ac:dyDescent="0.55000000000000004">
      <c r="B12" s="4" t="s">
        <v>293</v>
      </c>
    </row>
    <row r="13" spans="2:8" x14ac:dyDescent="0.55000000000000004">
      <c r="B13" s="449" t="s">
        <v>308</v>
      </c>
      <c r="C13" s="449"/>
      <c r="D13" s="449"/>
      <c r="E13" s="449" t="s">
        <v>309</v>
      </c>
      <c r="F13" s="449"/>
      <c r="G13" s="449"/>
      <c r="H13" s="103"/>
    </row>
    <row r="14" spans="2:8" s="1" customFormat="1" ht="42.75" customHeight="1" x14ac:dyDescent="0.55000000000000004">
      <c r="B14" s="448"/>
      <c r="C14" s="448"/>
      <c r="D14" s="448"/>
      <c r="E14" s="448"/>
      <c r="F14" s="448"/>
      <c r="G14" s="448"/>
      <c r="H14" s="112"/>
    </row>
    <row r="15" spans="2:8" s="1" customFormat="1" ht="42.75" customHeight="1" x14ac:dyDescent="0.55000000000000004">
      <c r="B15" s="448"/>
      <c r="C15" s="448"/>
      <c r="D15" s="448"/>
      <c r="E15" s="448"/>
      <c r="F15" s="448"/>
      <c r="G15" s="448"/>
    </row>
    <row r="16" spans="2:8" s="1" customFormat="1" ht="42.75" customHeight="1" x14ac:dyDescent="0.55000000000000004">
      <c r="B16" s="448"/>
      <c r="C16" s="448"/>
      <c r="D16" s="448"/>
      <c r="E16" s="448"/>
      <c r="F16" s="448"/>
      <c r="G16" s="448"/>
      <c r="H16" s="112"/>
    </row>
    <row r="17" spans="2:10" s="1" customFormat="1" ht="42.75" customHeight="1" x14ac:dyDescent="0.55000000000000004">
      <c r="B17" s="448"/>
      <c r="C17" s="448"/>
      <c r="D17" s="448"/>
      <c r="E17" s="448"/>
      <c r="F17" s="448"/>
      <c r="G17" s="448"/>
    </row>
    <row r="18" spans="2:10" x14ac:dyDescent="0.55000000000000004">
      <c r="B18" s="106" t="s">
        <v>294</v>
      </c>
    </row>
    <row r="19" spans="2:10" x14ac:dyDescent="0.55000000000000004">
      <c r="B19" s="2" t="str">
        <f>IF(OR(เกณฑ์=1,เกณฑ์=3,เกณฑ์=5),บทนำ!I19,บทนำ!J19)</f>
        <v xml:space="preserve">    1.5.1 อาจารย์ผู้รับผิดชอบหลักสูตร (ชุดที่ระบุใน มคอ.2)</v>
      </c>
      <c r="I19" s="2" t="s">
        <v>301</v>
      </c>
      <c r="J19" s="2" t="s">
        <v>323</v>
      </c>
    </row>
    <row r="20" spans="2:10" ht="48" x14ac:dyDescent="0.55000000000000004">
      <c r="B20" s="107" t="s">
        <v>295</v>
      </c>
      <c r="C20" s="107" t="s">
        <v>44</v>
      </c>
      <c r="D20" s="107" t="s">
        <v>296</v>
      </c>
      <c r="E20" s="107" t="s">
        <v>297</v>
      </c>
      <c r="F20" s="107" t="s">
        <v>299</v>
      </c>
      <c r="G20" s="107" t="s">
        <v>298</v>
      </c>
    </row>
    <row r="21" spans="2:10" s="1" customFormat="1" x14ac:dyDescent="0.55000000000000004">
      <c r="B21" s="145">
        <v>1</v>
      </c>
      <c r="C21" s="147"/>
      <c r="D21" s="148"/>
      <c r="E21" s="148"/>
      <c r="F21" s="148"/>
      <c r="G21" s="148"/>
    </row>
    <row r="22" spans="2:10" s="1" customFormat="1" x14ac:dyDescent="0.55000000000000004">
      <c r="B22" s="145">
        <v>2</v>
      </c>
      <c r="C22" s="147"/>
      <c r="D22" s="148"/>
      <c r="E22" s="148"/>
      <c r="F22" s="148"/>
      <c r="G22" s="148"/>
    </row>
    <row r="23" spans="2:10" s="1" customFormat="1" x14ac:dyDescent="0.55000000000000004">
      <c r="B23" s="145">
        <v>3</v>
      </c>
      <c r="C23" s="147"/>
      <c r="D23" s="148"/>
      <c r="E23" s="148"/>
      <c r="F23" s="148"/>
      <c r="G23" s="148"/>
    </row>
    <row r="24" spans="2:10" s="1" customFormat="1" x14ac:dyDescent="0.55000000000000004">
      <c r="B24" s="145">
        <v>4</v>
      </c>
      <c r="C24" s="147"/>
      <c r="D24" s="148"/>
      <c r="E24" s="148"/>
      <c r="F24" s="148"/>
      <c r="G24" s="148"/>
    </row>
    <row r="25" spans="2:10" s="1" customFormat="1" x14ac:dyDescent="0.55000000000000004">
      <c r="B25" s="145">
        <v>5</v>
      </c>
      <c r="C25" s="147"/>
      <c r="D25" s="148"/>
      <c r="E25" s="148"/>
      <c r="F25" s="148"/>
      <c r="G25" s="148"/>
    </row>
    <row r="26" spans="2:10" s="1" customFormat="1" x14ac:dyDescent="0.55000000000000004">
      <c r="B26" s="145">
        <v>6</v>
      </c>
      <c r="C26" s="147"/>
      <c r="D26" s="148"/>
      <c r="E26" s="148"/>
      <c r="F26" s="148"/>
      <c r="G26" s="148"/>
    </row>
    <row r="27" spans="2:10" s="1" customFormat="1" x14ac:dyDescent="0.55000000000000004">
      <c r="B27" s="145">
        <v>7</v>
      </c>
      <c r="C27" s="147"/>
      <c r="D27" s="148"/>
      <c r="E27" s="148"/>
      <c r="F27" s="148"/>
      <c r="G27" s="148"/>
    </row>
    <row r="28" spans="2:10" s="1" customFormat="1" x14ac:dyDescent="0.55000000000000004">
      <c r="B28" s="145">
        <v>8</v>
      </c>
      <c r="C28" s="147"/>
      <c r="D28" s="148"/>
      <c r="E28" s="148"/>
      <c r="F28" s="148"/>
      <c r="G28" s="148"/>
    </row>
    <row r="29" spans="2:10" s="1" customFormat="1" x14ac:dyDescent="0.55000000000000004">
      <c r="B29" s="145">
        <v>9</v>
      </c>
      <c r="C29" s="147"/>
      <c r="D29" s="148"/>
      <c r="E29" s="148"/>
      <c r="F29" s="148"/>
      <c r="G29" s="148"/>
    </row>
    <row r="30" spans="2:10" s="1" customFormat="1" x14ac:dyDescent="0.55000000000000004">
      <c r="B30" s="145">
        <v>10</v>
      </c>
      <c r="C30" s="147"/>
      <c r="D30" s="148"/>
      <c r="E30" s="148"/>
      <c r="F30" s="148"/>
      <c r="G30" s="148"/>
    </row>
    <row r="31" spans="2:10" s="233" customFormat="1" x14ac:dyDescent="0.55000000000000004">
      <c r="B31" s="252"/>
      <c r="C31" s="253"/>
      <c r="D31" s="254"/>
      <c r="E31" s="254"/>
      <c r="F31" s="254"/>
      <c r="G31" s="254"/>
    </row>
    <row r="32" spans="2:10" s="233" customFormat="1" x14ac:dyDescent="0.55000000000000004">
      <c r="B32" s="252"/>
      <c r="C32" s="253"/>
      <c r="D32" s="254"/>
      <c r="E32" s="254"/>
      <c r="F32" s="254"/>
      <c r="G32" s="254"/>
    </row>
    <row r="33" spans="2:10" x14ac:dyDescent="0.55000000000000004">
      <c r="B33" s="2" t="str">
        <f>IF(OR(เกณฑ์=1,เกณฑ์=3,เกณฑ์=5),บทนำ!I33,บทนำ!J33)</f>
        <v xml:space="preserve">   1.5.2 อาจารย์ผู้รับผิดชอบหลักสูตร (ชุดปัจจุบัน)</v>
      </c>
      <c r="I33" s="108" t="s">
        <v>300</v>
      </c>
      <c r="J33" s="108" t="s">
        <v>324</v>
      </c>
    </row>
    <row r="34" spans="2:10" ht="21" customHeight="1" x14ac:dyDescent="0.55000000000000004">
      <c r="B34" s="107" t="s">
        <v>295</v>
      </c>
      <c r="C34" s="107" t="s">
        <v>44</v>
      </c>
      <c r="D34" s="107" t="s">
        <v>296</v>
      </c>
      <c r="E34" s="107" t="s">
        <v>297</v>
      </c>
      <c r="F34" s="107" t="s">
        <v>299</v>
      </c>
      <c r="G34" s="107" t="s">
        <v>298</v>
      </c>
    </row>
    <row r="35" spans="2:10" s="1" customFormat="1" x14ac:dyDescent="0.55000000000000004">
      <c r="B35" s="145">
        <v>1</v>
      </c>
      <c r="C35" s="147"/>
      <c r="D35" s="148"/>
      <c r="E35" s="148"/>
      <c r="F35" s="148"/>
      <c r="G35" s="148"/>
    </row>
    <row r="36" spans="2:10" s="1" customFormat="1" x14ac:dyDescent="0.55000000000000004">
      <c r="B36" s="146">
        <v>2</v>
      </c>
      <c r="C36" s="147"/>
      <c r="D36" s="148"/>
      <c r="E36" s="148"/>
      <c r="F36" s="148"/>
      <c r="G36" s="148"/>
    </row>
    <row r="37" spans="2:10" s="1" customFormat="1" x14ac:dyDescent="0.55000000000000004">
      <c r="B37" s="146">
        <v>3</v>
      </c>
      <c r="C37" s="147"/>
      <c r="D37" s="148"/>
      <c r="E37" s="148"/>
      <c r="F37" s="148"/>
      <c r="G37" s="148"/>
    </row>
    <row r="38" spans="2:10" s="1" customFormat="1" x14ac:dyDescent="0.55000000000000004">
      <c r="B38" s="146">
        <v>4</v>
      </c>
      <c r="C38" s="147"/>
      <c r="D38" s="148"/>
      <c r="E38" s="148"/>
      <c r="F38" s="148"/>
      <c r="G38" s="148"/>
    </row>
    <row r="39" spans="2:10" s="1" customFormat="1" x14ac:dyDescent="0.55000000000000004">
      <c r="B39" s="146">
        <v>5</v>
      </c>
      <c r="C39" s="147"/>
      <c r="D39" s="148"/>
      <c r="E39" s="148"/>
      <c r="F39" s="148"/>
      <c r="G39" s="148"/>
    </row>
    <row r="40" spans="2:10" s="1" customFormat="1" x14ac:dyDescent="0.55000000000000004">
      <c r="B40" s="145">
        <v>6</v>
      </c>
      <c r="C40" s="147"/>
      <c r="D40" s="148"/>
      <c r="E40" s="148"/>
      <c r="F40" s="148"/>
      <c r="G40" s="148"/>
    </row>
    <row r="41" spans="2:10" s="1" customFormat="1" x14ac:dyDescent="0.55000000000000004">
      <c r="B41" s="146">
        <v>7</v>
      </c>
      <c r="C41" s="147"/>
      <c r="D41" s="148"/>
      <c r="E41" s="148"/>
      <c r="F41" s="148"/>
      <c r="G41" s="148"/>
    </row>
    <row r="42" spans="2:10" s="1" customFormat="1" x14ac:dyDescent="0.55000000000000004">
      <c r="B42" s="146">
        <v>8</v>
      </c>
      <c r="C42" s="147"/>
      <c r="D42" s="148"/>
      <c r="E42" s="148"/>
      <c r="F42" s="148"/>
      <c r="G42" s="148"/>
    </row>
    <row r="43" spans="2:10" s="1" customFormat="1" x14ac:dyDescent="0.55000000000000004">
      <c r="B43" s="146">
        <v>9</v>
      </c>
      <c r="C43" s="147"/>
      <c r="D43" s="148"/>
      <c r="E43" s="148"/>
      <c r="F43" s="148"/>
      <c r="G43" s="148"/>
    </row>
    <row r="44" spans="2:10" s="1" customFormat="1" x14ac:dyDescent="0.55000000000000004">
      <c r="B44" s="146">
        <v>10</v>
      </c>
      <c r="C44" s="147"/>
      <c r="D44" s="148"/>
      <c r="E44" s="148"/>
      <c r="F44" s="148"/>
      <c r="G44" s="148"/>
    </row>
    <row r="45" spans="2:10" x14ac:dyDescent="0.55000000000000004">
      <c r="B45" s="106" t="s">
        <v>302</v>
      </c>
    </row>
    <row r="46" spans="2:10" x14ac:dyDescent="0.55000000000000004">
      <c r="C46" s="108" t="s">
        <v>303</v>
      </c>
    </row>
    <row r="47" spans="2:10" s="1" customFormat="1" x14ac:dyDescent="0.55000000000000004">
      <c r="C47" s="450"/>
      <c r="D47" s="450"/>
    </row>
    <row r="48" spans="2:10" s="1" customFormat="1" x14ac:dyDescent="0.55000000000000004">
      <c r="C48" s="450"/>
      <c r="D48" s="450"/>
    </row>
    <row r="49" spans="2:6" s="1" customFormat="1" x14ac:dyDescent="0.55000000000000004">
      <c r="C49" s="450"/>
      <c r="D49" s="450"/>
    </row>
    <row r="50" spans="2:6" s="1" customFormat="1" x14ac:dyDescent="0.55000000000000004">
      <c r="C50" s="450"/>
      <c r="D50" s="450"/>
    </row>
    <row r="51" spans="2:6" s="1" customFormat="1" x14ac:dyDescent="0.55000000000000004">
      <c r="C51" s="450"/>
      <c r="D51" s="450"/>
    </row>
    <row r="52" spans="2:6" x14ac:dyDescent="0.55000000000000004">
      <c r="C52" s="109" t="s">
        <v>304</v>
      </c>
    </row>
    <row r="53" spans="2:6" s="1" customFormat="1" x14ac:dyDescent="0.55000000000000004">
      <c r="C53" s="450"/>
      <c r="D53" s="450"/>
    </row>
    <row r="54" spans="2:6" s="1" customFormat="1" x14ac:dyDescent="0.55000000000000004">
      <c r="C54" s="450"/>
      <c r="D54" s="450"/>
    </row>
    <row r="55" spans="2:6" s="1" customFormat="1" x14ac:dyDescent="0.55000000000000004">
      <c r="C55" s="450"/>
      <c r="D55" s="450"/>
    </row>
    <row r="56" spans="2:6" s="1" customFormat="1" x14ac:dyDescent="0.55000000000000004">
      <c r="C56" s="450"/>
      <c r="D56" s="450"/>
    </row>
    <row r="57" spans="2:6" s="1" customFormat="1" x14ac:dyDescent="0.55000000000000004">
      <c r="C57" s="450"/>
      <c r="D57" s="450"/>
    </row>
    <row r="58" spans="2:6" x14ac:dyDescent="0.55000000000000004">
      <c r="B58" s="4" t="s">
        <v>305</v>
      </c>
    </row>
    <row r="59" spans="2:6" x14ac:dyDescent="0.55000000000000004">
      <c r="C59" s="2" t="str">
        <f>"คณะ "&amp;คณะ&amp;"  "&amp;มหาวิทยาลัย</f>
        <v>คณะ เทคโนโลยีอุตสาหกรรม  มหาวิทยาลัยราชภัฏบุรีรัมย์</v>
      </c>
    </row>
    <row r="61" spans="2:6" x14ac:dyDescent="0.55000000000000004">
      <c r="B61" s="37"/>
    </row>
    <row r="62" spans="2:6" x14ac:dyDescent="0.55000000000000004">
      <c r="D62" s="110"/>
      <c r="E62" s="110"/>
      <c r="F62" s="110"/>
    </row>
  </sheetData>
  <sheetProtection sheet="1" objects="1" scenarios="1" formatCells="0" formatRows="0" insertRows="0" deleteRows="0"/>
  <mergeCells count="25">
    <mergeCell ref="B14:D14"/>
    <mergeCell ref="C50:D50"/>
    <mergeCell ref="C51:D51"/>
    <mergeCell ref="C53:D53"/>
    <mergeCell ref="B16:D16"/>
    <mergeCell ref="C57:D57"/>
    <mergeCell ref="B1:G1"/>
    <mergeCell ref="B2:G2"/>
    <mergeCell ref="C11:G11"/>
    <mergeCell ref="D9:F9"/>
    <mergeCell ref="C47:D47"/>
    <mergeCell ref="C48:D48"/>
    <mergeCell ref="C49:D49"/>
    <mergeCell ref="E17:G17"/>
    <mergeCell ref="B5:G5"/>
    <mergeCell ref="E16:G16"/>
    <mergeCell ref="E13:G13"/>
    <mergeCell ref="C55:D55"/>
    <mergeCell ref="B13:D13"/>
    <mergeCell ref="B17:D17"/>
    <mergeCell ref="C56:D56"/>
    <mergeCell ref="C54:D54"/>
    <mergeCell ref="E14:G14"/>
    <mergeCell ref="B15:D15"/>
    <mergeCell ref="E15:G15"/>
  </mergeCell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3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 tint="0.59999389629810485"/>
  </sheetPr>
  <dimension ref="A1:AW33"/>
  <sheetViews>
    <sheetView showGridLines="0" zoomScale="115" zoomScaleNormal="115" zoomScaleSheetLayoutView="115" workbookViewId="0">
      <selection activeCell="G7" sqref="G7"/>
    </sheetView>
  </sheetViews>
  <sheetFormatPr defaultRowHeight="24" x14ac:dyDescent="0.55000000000000004"/>
  <cols>
    <col min="1" max="1" width="13.75" style="1" customWidth="1"/>
    <col min="2" max="2" width="12" style="1" customWidth="1"/>
    <col min="3" max="3" width="13.5" style="1" customWidth="1"/>
    <col min="4" max="6" width="13.75" style="1" customWidth="1"/>
    <col min="7" max="7" width="37.125" style="1" bestFit="1" customWidth="1"/>
    <col min="8" max="10" width="9" style="1" hidden="1" customWidth="1"/>
    <col min="11" max="11" width="29.875" style="1" hidden="1" customWidth="1"/>
    <col min="12" max="12" width="38" style="1" hidden="1" customWidth="1"/>
    <col min="13" max="13" width="42.75" style="1" hidden="1" customWidth="1"/>
    <col min="14" max="14" width="59.125" style="1" hidden="1" customWidth="1"/>
    <col min="15" max="19" width="9" style="1" customWidth="1"/>
    <col min="20" max="16384" width="9" style="1"/>
  </cols>
  <sheetData>
    <row r="1" spans="1:49" ht="30" x14ac:dyDescent="0.55000000000000004">
      <c r="A1" s="458" t="s">
        <v>0</v>
      </c>
      <c r="B1" s="458"/>
      <c r="C1" s="458"/>
      <c r="D1" s="458"/>
      <c r="E1" s="458"/>
      <c r="F1" s="458"/>
      <c r="G1" s="283" t="s">
        <v>57</v>
      </c>
      <c r="H1" s="284"/>
      <c r="I1" s="284"/>
      <c r="J1" s="284"/>
    </row>
    <row r="2" spans="1:49" ht="30" x14ac:dyDescent="0.55000000000000004">
      <c r="A2" s="458" t="s">
        <v>1</v>
      </c>
      <c r="B2" s="458"/>
      <c r="C2" s="458"/>
      <c r="D2" s="458"/>
      <c r="E2" s="458"/>
      <c r="F2" s="458"/>
      <c r="G2" s="285" t="s">
        <v>58</v>
      </c>
      <c r="H2" s="284"/>
      <c r="I2" s="284"/>
      <c r="J2" s="284"/>
    </row>
    <row r="3" spans="1:49" ht="30" x14ac:dyDescent="0.55000000000000004">
      <c r="A3" s="458" t="s">
        <v>2</v>
      </c>
      <c r="B3" s="458"/>
      <c r="C3" s="458"/>
      <c r="D3" s="458"/>
      <c r="E3" s="458"/>
      <c r="F3" s="458"/>
      <c r="G3" s="286" t="s">
        <v>346</v>
      </c>
      <c r="H3" s="284"/>
      <c r="I3" s="284"/>
      <c r="J3" s="284"/>
    </row>
    <row r="4" spans="1:49" ht="21" customHeight="1" x14ac:dyDescent="0.55000000000000004">
      <c r="A4" s="287" t="s">
        <v>3</v>
      </c>
      <c r="G4" s="288" t="s">
        <v>364</v>
      </c>
      <c r="H4" s="120"/>
      <c r="I4" s="120"/>
      <c r="J4" s="120"/>
      <c r="K4" s="120" t="s">
        <v>18</v>
      </c>
      <c r="L4" s="120" t="s">
        <v>20</v>
      </c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</row>
    <row r="5" spans="1:49" x14ac:dyDescent="0.55000000000000004">
      <c r="A5" s="283" t="s">
        <v>4</v>
      </c>
      <c r="B5" s="289"/>
      <c r="C5" s="289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</row>
    <row r="6" spans="1:49" x14ac:dyDescent="0.55000000000000004">
      <c r="A6" s="290"/>
      <c r="H6" s="120"/>
      <c r="I6" s="120"/>
      <c r="J6" s="120"/>
      <c r="K6" s="291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</row>
    <row r="7" spans="1:49" ht="38.25" customHeight="1" x14ac:dyDescent="0.55000000000000004">
      <c r="A7" s="292" t="s">
        <v>5</v>
      </c>
      <c r="B7" s="459" t="s">
        <v>6</v>
      </c>
      <c r="C7" s="459"/>
      <c r="D7" s="459"/>
      <c r="E7" s="457" t="s">
        <v>7</v>
      </c>
      <c r="F7" s="457"/>
      <c r="H7" s="120"/>
      <c r="I7" s="120"/>
      <c r="J7" s="120"/>
      <c r="K7" s="120" t="s">
        <v>165</v>
      </c>
      <c r="L7" s="120" t="s">
        <v>166</v>
      </c>
      <c r="M7" s="120" t="s">
        <v>312</v>
      </c>
      <c r="N7" s="120" t="s">
        <v>313</v>
      </c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</row>
    <row r="8" spans="1:49" ht="41.25" customHeight="1" x14ac:dyDescent="0.55000000000000004">
      <c r="A8" s="117"/>
      <c r="B8" s="466" t="str">
        <f t="shared" ref="B8:B18" si="0">IF(เกณฑ์=1,K8,IF(เกณฑ์=2,L8,IF(OR(เกณฑ์=3,เกณฑ์=5),M8,IF(OR(เกณฑ์=4,เกณฑ์=6),N8," "))))</f>
        <v>1. จำนวนอาจารย์ผู้รับผิดชอบหลักสูตร</v>
      </c>
      <c r="C8" s="466"/>
      <c r="D8" s="466"/>
      <c r="E8" s="460"/>
      <c r="F8" s="461"/>
      <c r="H8" s="143" t="b">
        <v>1</v>
      </c>
      <c r="I8" s="143" t="b">
        <v>0</v>
      </c>
      <c r="J8" s="120"/>
      <c r="K8" s="149" t="s">
        <v>8</v>
      </c>
      <c r="L8" s="153" t="s">
        <v>167</v>
      </c>
      <c r="M8" s="153" t="s">
        <v>8</v>
      </c>
      <c r="N8" s="153" t="s">
        <v>167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</row>
    <row r="9" spans="1:49" ht="41.25" customHeight="1" x14ac:dyDescent="0.55000000000000004">
      <c r="A9" s="118"/>
      <c r="B9" s="466" t="str">
        <f t="shared" si="0"/>
        <v>2. คุณสมบัติอาจารย์ผู้รับผิดชอบหลักสูตร</v>
      </c>
      <c r="C9" s="466"/>
      <c r="D9" s="466"/>
      <c r="E9" s="460"/>
      <c r="F9" s="461"/>
      <c r="H9" s="143" t="b">
        <v>1</v>
      </c>
      <c r="I9" s="143" t="b">
        <v>0</v>
      </c>
      <c r="J9" s="120"/>
      <c r="K9" s="149" t="s">
        <v>9</v>
      </c>
      <c r="L9" s="153" t="s">
        <v>320</v>
      </c>
      <c r="M9" s="153" t="s">
        <v>9</v>
      </c>
      <c r="N9" s="153" t="s">
        <v>320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</row>
    <row r="10" spans="1:49" ht="41.25" customHeight="1" x14ac:dyDescent="0.55000000000000004">
      <c r="A10" s="117"/>
      <c r="B10" s="466" t="str">
        <f t="shared" si="0"/>
        <v>3. คุณสมบัติอาจารย์ประจำหลักสูตร</v>
      </c>
      <c r="C10" s="466"/>
      <c r="D10" s="466"/>
      <c r="E10" s="460"/>
      <c r="F10" s="461"/>
      <c r="H10" s="143" t="b">
        <v>1</v>
      </c>
      <c r="I10" s="143" t="b">
        <v>0</v>
      </c>
      <c r="J10" s="120"/>
      <c r="K10" s="149" t="s">
        <v>10</v>
      </c>
      <c r="L10" s="153" t="s">
        <v>319</v>
      </c>
      <c r="M10" s="153" t="s">
        <v>314</v>
      </c>
      <c r="N10" s="153" t="s">
        <v>319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</row>
    <row r="11" spans="1:49" ht="41.25" customHeight="1" x14ac:dyDescent="0.55000000000000004">
      <c r="A11" s="117"/>
      <c r="B11" s="466" t="str">
        <f t="shared" si="0"/>
        <v>4. คุณสมบัติอาจารย์ผู้สอน</v>
      </c>
      <c r="C11" s="466"/>
      <c r="D11" s="466"/>
      <c r="E11" s="460"/>
      <c r="F11" s="461"/>
      <c r="H11" s="143" t="b">
        <v>1</v>
      </c>
      <c r="I11" s="143" t="b">
        <v>0</v>
      </c>
      <c r="J11" s="120"/>
      <c r="K11" s="154" t="s">
        <v>176</v>
      </c>
      <c r="L11" s="153" t="s">
        <v>318</v>
      </c>
      <c r="M11" s="153" t="s">
        <v>160</v>
      </c>
      <c r="N11" s="153" t="s">
        <v>318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</row>
    <row r="12" spans="1:49" ht="41.25" customHeight="1" thickBot="1" x14ac:dyDescent="0.6">
      <c r="A12" s="117"/>
      <c r="B12" s="466" t="str">
        <f t="shared" si="0"/>
        <v>10. การปรับปรุงหลักสูตรตามรอบระยะเวลาที่กำหนด</v>
      </c>
      <c r="C12" s="466"/>
      <c r="D12" s="466"/>
      <c r="E12" s="460"/>
      <c r="F12" s="461"/>
      <c r="H12" s="143" t="b">
        <v>1</v>
      </c>
      <c r="I12" s="143" t="b">
        <v>0</v>
      </c>
      <c r="J12" s="120"/>
      <c r="K12" s="153" t="s">
        <v>176</v>
      </c>
      <c r="L12" s="150" t="s">
        <v>168</v>
      </c>
      <c r="M12" s="151" t="s">
        <v>161</v>
      </c>
      <c r="N12" s="151" t="s">
        <v>161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</row>
    <row r="13" spans="1:49" ht="41.25" customHeight="1" x14ac:dyDescent="0.55000000000000004">
      <c r="A13" s="117"/>
      <c r="B13" s="466" t="str">
        <f t="shared" si="0"/>
        <v xml:space="preserve"> </v>
      </c>
      <c r="C13" s="466"/>
      <c r="D13" s="466"/>
      <c r="E13" s="460"/>
      <c r="F13" s="461"/>
      <c r="H13" s="143" t="b">
        <v>1</v>
      </c>
      <c r="I13" s="143" t="b">
        <v>0</v>
      </c>
      <c r="J13" s="120"/>
      <c r="K13" s="153" t="s">
        <v>176</v>
      </c>
      <c r="L13" s="153" t="s">
        <v>176</v>
      </c>
      <c r="M13" s="151" t="s">
        <v>162</v>
      </c>
      <c r="N13" s="151" t="s">
        <v>162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</row>
    <row r="14" spans="1:49" ht="41.25" customHeight="1" x14ac:dyDescent="0.55000000000000004">
      <c r="A14" s="117"/>
      <c r="B14" s="466" t="str">
        <f t="shared" si="0"/>
        <v xml:space="preserve"> </v>
      </c>
      <c r="C14" s="466"/>
      <c r="D14" s="466"/>
      <c r="E14" s="460"/>
      <c r="F14" s="461"/>
      <c r="H14" s="143" t="b">
        <v>1</v>
      </c>
      <c r="I14" s="143"/>
      <c r="J14" s="120"/>
      <c r="K14" s="153" t="s">
        <v>176</v>
      </c>
      <c r="L14" s="153" t="s">
        <v>176</v>
      </c>
      <c r="M14" s="151" t="s">
        <v>163</v>
      </c>
      <c r="N14" s="151" t="s">
        <v>163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</row>
    <row r="15" spans="1:49" ht="41.25" customHeight="1" x14ac:dyDescent="0.55000000000000004">
      <c r="A15" s="117"/>
      <c r="B15" s="466" t="str">
        <f t="shared" si="0"/>
        <v xml:space="preserve"> </v>
      </c>
      <c r="C15" s="466"/>
      <c r="D15" s="466"/>
      <c r="E15" s="460"/>
      <c r="F15" s="461"/>
      <c r="H15" s="143" t="b">
        <v>1</v>
      </c>
      <c r="I15" s="143" t="b">
        <v>0</v>
      </c>
      <c r="J15" s="120"/>
      <c r="K15" s="153" t="s">
        <v>176</v>
      </c>
      <c r="L15" s="153" t="s">
        <v>176</v>
      </c>
      <c r="M15" s="151" t="s">
        <v>164</v>
      </c>
      <c r="N15" s="151" t="s">
        <v>164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</row>
    <row r="16" spans="1:49" ht="41.25" customHeight="1" x14ac:dyDescent="0.55000000000000004">
      <c r="A16" s="117"/>
      <c r="B16" s="466" t="str">
        <f t="shared" si="0"/>
        <v xml:space="preserve"> </v>
      </c>
      <c r="C16" s="466"/>
      <c r="D16" s="466"/>
      <c r="E16" s="460"/>
      <c r="F16" s="461"/>
      <c r="H16" s="143" t="b">
        <v>1</v>
      </c>
      <c r="I16" s="143" t="b">
        <v>0</v>
      </c>
      <c r="J16" s="120"/>
      <c r="K16" s="153" t="s">
        <v>176</v>
      </c>
      <c r="L16" s="153" t="s">
        <v>176</v>
      </c>
      <c r="M16" s="151" t="s">
        <v>315</v>
      </c>
      <c r="N16" s="151" t="s">
        <v>315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</row>
    <row r="17" spans="1:49" ht="41.25" customHeight="1" thickBot="1" x14ac:dyDescent="0.6">
      <c r="A17" s="117"/>
      <c r="B17" s="466" t="str">
        <f t="shared" si="0"/>
        <v xml:space="preserve"> </v>
      </c>
      <c r="C17" s="466"/>
      <c r="D17" s="466"/>
      <c r="E17" s="460"/>
      <c r="F17" s="461"/>
      <c r="H17" s="143" t="b">
        <v>1</v>
      </c>
      <c r="I17" s="143" t="b">
        <v>0</v>
      </c>
      <c r="J17" s="120"/>
      <c r="K17" s="153" t="s">
        <v>176</v>
      </c>
      <c r="L17" s="153" t="s">
        <v>176</v>
      </c>
      <c r="M17" s="150" t="s">
        <v>316</v>
      </c>
      <c r="N17" s="150" t="s">
        <v>168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</row>
    <row r="18" spans="1:49" ht="41.25" customHeight="1" x14ac:dyDescent="0.55000000000000004">
      <c r="A18" s="117"/>
      <c r="B18" s="466" t="str">
        <f t="shared" si="0"/>
        <v xml:space="preserve"> </v>
      </c>
      <c r="C18" s="466"/>
      <c r="D18" s="466"/>
      <c r="E18" s="460"/>
      <c r="F18" s="461"/>
      <c r="H18" s="143" t="b">
        <v>1</v>
      </c>
      <c r="I18" s="143" t="b">
        <v>0</v>
      </c>
      <c r="J18" s="120"/>
      <c r="K18" s="153" t="s">
        <v>176</v>
      </c>
      <c r="L18" s="153" t="s">
        <v>176</v>
      </c>
      <c r="M18" s="153" t="s">
        <v>317</v>
      </c>
      <c r="N18" s="155" t="s">
        <v>176</v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</row>
    <row r="19" spans="1:49" ht="24.75" thickBot="1" x14ac:dyDescent="0.6">
      <c r="A19" s="293"/>
      <c r="B19" s="293"/>
      <c r="C19" s="293"/>
      <c r="D19" s="294"/>
      <c r="E19" s="294"/>
      <c r="F19" s="294"/>
      <c r="H19" s="120"/>
      <c r="I19" s="120"/>
      <c r="J19" s="120"/>
      <c r="K19" s="153"/>
      <c r="L19" s="153"/>
      <c r="M19" s="1" t="s">
        <v>176</v>
      </c>
      <c r="N19" s="153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</row>
    <row r="20" spans="1:49" ht="21" customHeight="1" thickBot="1" x14ac:dyDescent="0.6">
      <c r="A20" s="293"/>
      <c r="B20" s="455" t="str">
        <f>IF(เกณฑ์=1,"เกณฑ์ประเมิน 3 ข้อ",IF(เกณฑ์=2,"เกณฑ์ประเมิน 5 ข้อ",IF(OR(เกณฑ์=3,เกณฑ์=4,เกณฑ์=5,เกณฑ์=6),"เกณฑ์ประเมิน 10 ข้อ"," ")))</f>
        <v>เกณฑ์ประเมิน 5 ข้อ</v>
      </c>
      <c r="C20" s="456"/>
      <c r="D20" s="456" t="str">
        <f>"ผลการดำเนินงาน "&amp;IF(H20=TRUE,"ทำได้ครบทุกข้อ","ทำไม่ครบทุกข้อ")</f>
        <v>ผลการดำเนินงาน ทำได้ครบทุกข้อ</v>
      </c>
      <c r="E20" s="467"/>
      <c r="F20" s="294"/>
      <c r="H20" s="120" t="b">
        <f>IF(เกณฑ์=1,AND(H8:H10),IF(เกณฑ์=2,AND(H8:H12),IF(OR(เกณฑ์=3,เกณฑ์=4,เกณฑ์=5,เกณฑ์=6),AND(H8:H17))))</f>
        <v>1</v>
      </c>
      <c r="I20" s="120"/>
      <c r="J20" s="120"/>
      <c r="K20" s="153"/>
      <c r="L20" s="153"/>
      <c r="M20" s="153" t="s">
        <v>176</v>
      </c>
      <c r="N20" s="153" t="s">
        <v>176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</row>
    <row r="21" spans="1:49" x14ac:dyDescent="0.55000000000000004">
      <c r="A21" s="295" t="s">
        <v>11</v>
      </c>
      <c r="B21" s="293"/>
      <c r="C21" s="293"/>
      <c r="D21" s="294"/>
      <c r="E21" s="294"/>
      <c r="F21" s="294"/>
      <c r="H21" s="120"/>
      <c r="I21" s="120"/>
      <c r="J21" s="120"/>
      <c r="K21" s="153"/>
      <c r="L21" s="153"/>
      <c r="M21" s="153"/>
      <c r="N21" s="153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</row>
    <row r="22" spans="1:49" ht="43.5" x14ac:dyDescent="0.55000000000000004">
      <c r="A22" s="464" t="s">
        <v>12</v>
      </c>
      <c r="B22" s="465"/>
      <c r="C22" s="296" t="s">
        <v>13</v>
      </c>
      <c r="D22" s="296" t="s">
        <v>14</v>
      </c>
      <c r="E22" s="296" t="s">
        <v>403</v>
      </c>
      <c r="F22" s="296" t="s">
        <v>16</v>
      </c>
      <c r="H22" s="120"/>
      <c r="I22" s="120"/>
      <c r="J22" s="120"/>
      <c r="K22" s="153"/>
      <c r="L22" s="153"/>
      <c r="M22" s="153"/>
      <c r="N22" s="153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</row>
    <row r="23" spans="1:49" ht="42.75" customHeight="1" x14ac:dyDescent="0.55000000000000004">
      <c r="A23" s="462" t="s">
        <v>17</v>
      </c>
      <c r="B23" s="463"/>
      <c r="C23" s="119" t="s">
        <v>18</v>
      </c>
      <c r="D23" s="297" t="str">
        <f>IF(H20=TRUE,"ผ่าน","ไม่ผ่าน")</f>
        <v>ผ่าน</v>
      </c>
      <c r="E23" s="297" t="str">
        <f>D23</f>
        <v>ผ่าน</v>
      </c>
      <c r="F23" s="297" t="str">
        <f>IF(AND(H8:H10),"บรรลุ","ไม่บรรลุ")</f>
        <v>บรรลุ</v>
      </c>
      <c r="H23" s="120"/>
      <c r="I23" s="120"/>
      <c r="J23" s="120"/>
      <c r="K23" s="153"/>
      <c r="L23" s="153"/>
      <c r="M23" s="153"/>
      <c r="N23" s="153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</row>
    <row r="24" spans="1:49" x14ac:dyDescent="0.55000000000000004">
      <c r="A24" s="298" t="s">
        <v>19</v>
      </c>
      <c r="B24" s="293"/>
      <c r="C24" s="293"/>
      <c r="D24" s="294"/>
      <c r="E24" s="294"/>
      <c r="F24" s="294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</row>
    <row r="25" spans="1:49" x14ac:dyDescent="0.55000000000000004">
      <c r="A25" s="298"/>
      <c r="B25" s="293"/>
      <c r="C25" s="293"/>
      <c r="D25" s="294"/>
      <c r="E25" s="294"/>
      <c r="F25" s="294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</row>
    <row r="26" spans="1:49" x14ac:dyDescent="0.55000000000000004">
      <c r="A26" s="299" t="s">
        <v>73</v>
      </c>
      <c r="B26" s="293"/>
      <c r="C26" s="293"/>
      <c r="D26" s="294"/>
      <c r="E26" s="294"/>
      <c r="F26" s="294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</row>
    <row r="27" spans="1:49" x14ac:dyDescent="0.55000000000000004">
      <c r="A27" s="469"/>
      <c r="B27" s="469"/>
      <c r="C27" s="469"/>
      <c r="D27" s="469"/>
      <c r="E27" s="469"/>
      <c r="F27" s="469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</row>
    <row r="28" spans="1:49" x14ac:dyDescent="0.55000000000000004">
      <c r="A28" s="468"/>
      <c r="B28" s="468"/>
      <c r="C28" s="468"/>
      <c r="D28" s="468"/>
      <c r="E28" s="468"/>
      <c r="F28" s="468"/>
    </row>
    <row r="29" spans="1:49" x14ac:dyDescent="0.55000000000000004">
      <c r="A29" s="468"/>
      <c r="B29" s="468"/>
      <c r="C29" s="468"/>
      <c r="D29" s="468"/>
      <c r="E29" s="468"/>
      <c r="F29" s="468"/>
    </row>
    <row r="30" spans="1:49" x14ac:dyDescent="0.55000000000000004">
      <c r="A30" s="468"/>
      <c r="B30" s="468"/>
      <c r="C30" s="468"/>
      <c r="D30" s="468"/>
      <c r="E30" s="468"/>
      <c r="F30" s="468"/>
    </row>
    <row r="31" spans="1:49" x14ac:dyDescent="0.55000000000000004">
      <c r="A31" s="468"/>
      <c r="B31" s="468"/>
      <c r="C31" s="468"/>
      <c r="D31" s="468"/>
      <c r="E31" s="468"/>
      <c r="F31" s="468"/>
    </row>
    <row r="32" spans="1:49" x14ac:dyDescent="0.55000000000000004">
      <c r="A32" s="300"/>
      <c r="B32" s="294"/>
      <c r="C32" s="294"/>
      <c r="D32" s="294"/>
      <c r="E32" s="294"/>
      <c r="F32" s="294"/>
    </row>
    <row r="33" spans="1:6" x14ac:dyDescent="0.55000000000000004">
      <c r="A33" s="294"/>
      <c r="B33" s="294"/>
      <c r="C33" s="294"/>
      <c r="D33" s="294"/>
      <c r="E33" s="294"/>
      <c r="F33" s="294"/>
    </row>
  </sheetData>
  <sheetProtection sheet="1" objects="1" scenarios="1" formatCells="0" formatRows="0" insertRows="0" deleteRows="0"/>
  <mergeCells count="36">
    <mergeCell ref="E8:F8"/>
    <mergeCell ref="E9:F9"/>
    <mergeCell ref="E10:F10"/>
    <mergeCell ref="E11:F11"/>
    <mergeCell ref="E12:F12"/>
    <mergeCell ref="B13:D13"/>
    <mergeCell ref="B11:D11"/>
    <mergeCell ref="B12:D12"/>
    <mergeCell ref="A30:F30"/>
    <mergeCell ref="A31:F31"/>
    <mergeCell ref="E16:F16"/>
    <mergeCell ref="E17:F17"/>
    <mergeCell ref="A27:F27"/>
    <mergeCell ref="A28:F28"/>
    <mergeCell ref="A29:F29"/>
    <mergeCell ref="B18:D18"/>
    <mergeCell ref="A23:B23"/>
    <mergeCell ref="A22:B22"/>
    <mergeCell ref="B16:D16"/>
    <mergeCell ref="B17:D17"/>
    <mergeCell ref="B8:D8"/>
    <mergeCell ref="B9:D9"/>
    <mergeCell ref="B10:D10"/>
    <mergeCell ref="B14:D14"/>
    <mergeCell ref="B15:D15"/>
    <mergeCell ref="D20:E20"/>
    <mergeCell ref="B20:C20"/>
    <mergeCell ref="E7:F7"/>
    <mergeCell ref="A1:F1"/>
    <mergeCell ref="A2:F2"/>
    <mergeCell ref="A3:F3"/>
    <mergeCell ref="B7:D7"/>
    <mergeCell ref="E13:F13"/>
    <mergeCell ref="E14:F14"/>
    <mergeCell ref="E18:F18"/>
    <mergeCell ref="E15:F15"/>
  </mergeCells>
  <dataValidations count="1">
    <dataValidation type="list" allowBlank="1" showInputMessage="1" showErrorMessage="1" sqref="C23">
      <formula1>ผลการดำเนินงาน</formula1>
    </dataValidation>
  </dataValidations>
  <hyperlinks>
    <hyperlink ref="G3" location="ข้อมูลพื้นฐาน!A1" display="Main Menu"/>
    <hyperlink ref="G4" location="'หมวด2-4.1'!A1" display="Next &gt;&gt;"/>
  </hyperlinks>
  <printOptions horizontalCentered="1"/>
  <pageMargins left="1.1023622047244095" right="0.70866141732283472" top="0.74803149606299213" bottom="0.74803149606299213" header="0.31496062992125984" footer="0.31496062992125984"/>
  <pageSetup paperSize="9" orientation="portrait" blackAndWhite="1" r:id="rId1"/>
  <headerFooter>
    <oddHeader>&amp;R&amp;P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7</xdr:row>
                    <xdr:rowOff>9525</xdr:rowOff>
                  </from>
                  <to>
                    <xdr:col>0</xdr:col>
                    <xdr:colOff>523875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0</xdr:col>
                    <xdr:colOff>485775</xdr:colOff>
                    <xdr:row>7</xdr:row>
                    <xdr:rowOff>9525</xdr:rowOff>
                  </from>
                  <to>
                    <xdr:col>0</xdr:col>
                    <xdr:colOff>1038225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0</xdr:col>
                    <xdr:colOff>95250</xdr:colOff>
                    <xdr:row>8</xdr:row>
                    <xdr:rowOff>9525</xdr:rowOff>
                  </from>
                  <to>
                    <xdr:col>0</xdr:col>
                    <xdr:colOff>533400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0</xdr:col>
                    <xdr:colOff>495300</xdr:colOff>
                    <xdr:row>8</xdr:row>
                    <xdr:rowOff>9525</xdr:rowOff>
                  </from>
                  <to>
                    <xdr:col>0</xdr:col>
                    <xdr:colOff>1038225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95250</xdr:colOff>
                    <xdr:row>9</xdr:row>
                    <xdr:rowOff>9525</xdr:rowOff>
                  </from>
                  <to>
                    <xdr:col>0</xdr:col>
                    <xdr:colOff>523875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0</xdr:col>
                    <xdr:colOff>495300</xdr:colOff>
                    <xdr:row>9</xdr:row>
                    <xdr:rowOff>19050</xdr:rowOff>
                  </from>
                  <to>
                    <xdr:col>0</xdr:col>
                    <xdr:colOff>1038225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0</xdr:col>
                    <xdr:colOff>95250</xdr:colOff>
                    <xdr:row>10</xdr:row>
                    <xdr:rowOff>9525</xdr:rowOff>
                  </from>
                  <to>
                    <xdr:col>0</xdr:col>
                    <xdr:colOff>533400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0</xdr:col>
                    <xdr:colOff>495300</xdr:colOff>
                    <xdr:row>10</xdr:row>
                    <xdr:rowOff>19050</xdr:rowOff>
                  </from>
                  <to>
                    <xdr:col>0</xdr:col>
                    <xdr:colOff>1028700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0</xdr:col>
                    <xdr:colOff>95250</xdr:colOff>
                    <xdr:row>11</xdr:row>
                    <xdr:rowOff>9525</xdr:rowOff>
                  </from>
                  <to>
                    <xdr:col>0</xdr:col>
                    <xdr:colOff>523875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0</xdr:col>
                    <xdr:colOff>495300</xdr:colOff>
                    <xdr:row>11</xdr:row>
                    <xdr:rowOff>19050</xdr:rowOff>
                  </from>
                  <to>
                    <xdr:col>0</xdr:col>
                    <xdr:colOff>1047750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0</xdr:col>
                    <xdr:colOff>95250</xdr:colOff>
                    <xdr:row>12</xdr:row>
                    <xdr:rowOff>9525</xdr:rowOff>
                  </from>
                  <to>
                    <xdr:col>0</xdr:col>
                    <xdr:colOff>514350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0</xdr:col>
                    <xdr:colOff>495300</xdr:colOff>
                    <xdr:row>12</xdr:row>
                    <xdr:rowOff>19050</xdr:rowOff>
                  </from>
                  <to>
                    <xdr:col>0</xdr:col>
                    <xdr:colOff>1047750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0</xdr:col>
                    <xdr:colOff>95250</xdr:colOff>
                    <xdr:row>13</xdr:row>
                    <xdr:rowOff>9525</xdr:rowOff>
                  </from>
                  <to>
                    <xdr:col>0</xdr:col>
                    <xdr:colOff>523875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0</xdr:col>
                    <xdr:colOff>495300</xdr:colOff>
                    <xdr:row>13</xdr:row>
                    <xdr:rowOff>19050</xdr:rowOff>
                  </from>
                  <to>
                    <xdr:col>0</xdr:col>
                    <xdr:colOff>1038225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9525</xdr:rowOff>
                  </from>
                  <to>
                    <xdr:col>0</xdr:col>
                    <xdr:colOff>514350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0</xdr:col>
                    <xdr:colOff>495300</xdr:colOff>
                    <xdr:row>14</xdr:row>
                    <xdr:rowOff>19050</xdr:rowOff>
                  </from>
                  <to>
                    <xdr:col>0</xdr:col>
                    <xdr:colOff>1028700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0</xdr:col>
                    <xdr:colOff>95250</xdr:colOff>
                    <xdr:row>15</xdr:row>
                    <xdr:rowOff>9525</xdr:rowOff>
                  </from>
                  <to>
                    <xdr:col>0</xdr:col>
                    <xdr:colOff>523875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0</xdr:col>
                    <xdr:colOff>495300</xdr:colOff>
                    <xdr:row>15</xdr:row>
                    <xdr:rowOff>19050</xdr:rowOff>
                  </from>
                  <to>
                    <xdr:col>0</xdr:col>
                    <xdr:colOff>1038225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9525</xdr:rowOff>
                  </from>
                  <to>
                    <xdr:col>0</xdr:col>
                    <xdr:colOff>523875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0</xdr:col>
                    <xdr:colOff>495300</xdr:colOff>
                    <xdr:row>16</xdr:row>
                    <xdr:rowOff>19050</xdr:rowOff>
                  </from>
                  <to>
                    <xdr:col>0</xdr:col>
                    <xdr:colOff>1019175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9525</xdr:rowOff>
                  </from>
                  <to>
                    <xdr:col>0</xdr:col>
                    <xdr:colOff>533400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0</xdr:col>
                    <xdr:colOff>495300</xdr:colOff>
                    <xdr:row>17</xdr:row>
                    <xdr:rowOff>19050</xdr:rowOff>
                  </from>
                  <to>
                    <xdr:col>0</xdr:col>
                    <xdr:colOff>1028700</xdr:colOff>
                    <xdr:row>17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4" tint="0.79998168889431442"/>
  </sheetPr>
  <dimension ref="A1:M31"/>
  <sheetViews>
    <sheetView showGridLines="0" zoomScale="115" zoomScaleNormal="115" zoomScaleSheetLayoutView="115" workbookViewId="0">
      <selection activeCell="G27" sqref="G27"/>
    </sheetView>
  </sheetViews>
  <sheetFormatPr defaultRowHeight="24" x14ac:dyDescent="0.55000000000000004"/>
  <cols>
    <col min="1" max="1" width="6" style="2" customWidth="1"/>
    <col min="2" max="2" width="9" style="2"/>
    <col min="3" max="3" width="17.75" style="2" customWidth="1"/>
    <col min="4" max="7" width="11.25" style="2" customWidth="1"/>
    <col min="8" max="8" width="37.125" style="233" bestFit="1" customWidth="1"/>
    <col min="9" max="10" width="13.125" style="233" customWidth="1"/>
    <col min="11" max="11" width="9" style="2"/>
    <col min="12" max="12" width="9" style="2" hidden="1" customWidth="1"/>
    <col min="13" max="16384" width="9" style="2"/>
  </cols>
  <sheetData>
    <row r="1" spans="1:10" ht="30" x14ac:dyDescent="0.55000000000000004">
      <c r="A1" s="451" t="s">
        <v>21</v>
      </c>
      <c r="B1" s="451"/>
      <c r="C1" s="451"/>
      <c r="D1" s="451"/>
      <c r="E1" s="451"/>
      <c r="F1" s="451"/>
      <c r="G1" s="451"/>
      <c r="H1" s="255" t="s">
        <v>57</v>
      </c>
      <c r="I1" s="256"/>
      <c r="J1" s="256"/>
    </row>
    <row r="2" spans="1:10" x14ac:dyDescent="0.55000000000000004">
      <c r="A2" s="37" t="s">
        <v>22</v>
      </c>
      <c r="H2" s="263" t="s">
        <v>58</v>
      </c>
    </row>
    <row r="3" spans="1:10" x14ac:dyDescent="0.55000000000000004">
      <c r="A3" s="89" t="s">
        <v>12</v>
      </c>
      <c r="B3" s="472" t="s">
        <v>23</v>
      </c>
      <c r="C3" s="472"/>
      <c r="D3" s="472"/>
      <c r="E3" s="472"/>
      <c r="F3" s="472"/>
      <c r="G3" s="472"/>
      <c r="H3" s="257"/>
      <c r="I3" s="257"/>
      <c r="J3" s="257"/>
    </row>
    <row r="4" spans="1:10" x14ac:dyDescent="0.55000000000000004">
      <c r="A4" s="38">
        <v>4.0999999999999996</v>
      </c>
      <c r="B4" s="13" t="s">
        <v>24</v>
      </c>
      <c r="C4" s="14"/>
      <c r="D4" s="14"/>
      <c r="E4" s="14"/>
      <c r="F4" s="14"/>
      <c r="G4" s="15"/>
      <c r="H4" s="258" t="s">
        <v>346</v>
      </c>
      <c r="I4" s="19"/>
      <c r="J4" s="19"/>
    </row>
    <row r="5" spans="1:10" x14ac:dyDescent="0.55000000000000004">
      <c r="A5" s="17"/>
      <c r="B5" s="25" t="s">
        <v>25</v>
      </c>
      <c r="C5" s="14"/>
      <c r="D5" s="14"/>
      <c r="E5" s="14"/>
      <c r="F5" s="14"/>
      <c r="G5" s="15"/>
      <c r="H5" s="259" t="s">
        <v>368</v>
      </c>
      <c r="I5" s="19"/>
      <c r="J5" s="19"/>
    </row>
    <row r="6" spans="1:10" x14ac:dyDescent="0.55000000000000004">
      <c r="A6" s="17"/>
      <c r="B6" s="25" t="s">
        <v>26</v>
      </c>
      <c r="C6" s="14"/>
      <c r="D6" s="14"/>
      <c r="E6" s="14"/>
      <c r="F6" s="14"/>
      <c r="G6" s="15"/>
      <c r="H6" s="259" t="s">
        <v>365</v>
      </c>
      <c r="I6" s="19"/>
      <c r="J6" s="19"/>
    </row>
    <row r="7" spans="1:10" x14ac:dyDescent="0.55000000000000004">
      <c r="A7" s="17"/>
      <c r="B7" s="25" t="s">
        <v>27</v>
      </c>
      <c r="C7" s="14"/>
      <c r="D7" s="14"/>
      <c r="E7" s="14"/>
      <c r="F7" s="14"/>
      <c r="G7" s="15"/>
      <c r="H7" s="19"/>
      <c r="I7" s="19"/>
      <c r="J7" s="19"/>
    </row>
    <row r="8" spans="1:10" x14ac:dyDescent="0.55000000000000004">
      <c r="A8" s="17"/>
      <c r="B8" s="13" t="s">
        <v>28</v>
      </c>
      <c r="C8" s="14"/>
      <c r="D8" s="14"/>
      <c r="E8" s="14"/>
      <c r="F8" s="14"/>
      <c r="G8" s="15"/>
      <c r="H8" s="19"/>
      <c r="I8" s="19"/>
      <c r="J8" s="19"/>
    </row>
    <row r="9" spans="1:10" s="1" customFormat="1" x14ac:dyDescent="0.55000000000000004">
      <c r="A9" s="32"/>
      <c r="B9" s="470"/>
      <c r="C9" s="469"/>
      <c r="D9" s="469"/>
      <c r="E9" s="469"/>
      <c r="F9" s="469"/>
      <c r="G9" s="471"/>
      <c r="H9" s="260"/>
      <c r="I9" s="260"/>
      <c r="J9" s="260"/>
    </row>
    <row r="10" spans="1:10" s="1" customFormat="1" x14ac:dyDescent="0.55000000000000004">
      <c r="A10" s="32"/>
      <c r="B10" s="470"/>
      <c r="C10" s="469"/>
      <c r="D10" s="469"/>
      <c r="E10" s="469"/>
      <c r="F10" s="469"/>
      <c r="G10" s="471"/>
      <c r="H10" s="260"/>
      <c r="I10" s="260"/>
      <c r="J10" s="260"/>
    </row>
    <row r="11" spans="1:10" s="1" customFormat="1" x14ac:dyDescent="0.55000000000000004">
      <c r="A11" s="32"/>
      <c r="B11" s="470"/>
      <c r="C11" s="469"/>
      <c r="D11" s="469"/>
      <c r="E11" s="469"/>
      <c r="F11" s="469"/>
      <c r="G11" s="471"/>
      <c r="H11" s="260"/>
      <c r="I11" s="260"/>
      <c r="J11" s="260"/>
    </row>
    <row r="12" spans="1:10" s="1" customFormat="1" x14ac:dyDescent="0.55000000000000004">
      <c r="A12" s="32"/>
      <c r="B12" s="470"/>
      <c r="C12" s="469"/>
      <c r="D12" s="469"/>
      <c r="E12" s="469"/>
      <c r="F12" s="469"/>
      <c r="G12" s="471"/>
      <c r="H12" s="260"/>
      <c r="I12" s="260"/>
      <c r="J12" s="260"/>
    </row>
    <row r="13" spans="1:10" s="1" customFormat="1" x14ac:dyDescent="0.55000000000000004">
      <c r="A13" s="32"/>
      <c r="B13" s="470"/>
      <c r="C13" s="469"/>
      <c r="D13" s="469"/>
      <c r="E13" s="469"/>
      <c r="F13" s="469"/>
      <c r="G13" s="471"/>
      <c r="H13" s="260"/>
      <c r="I13" s="260"/>
      <c r="J13" s="260"/>
    </row>
    <row r="14" spans="1:10" x14ac:dyDescent="0.55000000000000004">
      <c r="A14" s="17"/>
      <c r="B14" s="13" t="s">
        <v>73</v>
      </c>
      <c r="C14" s="14"/>
      <c r="D14" s="14"/>
      <c r="E14" s="14"/>
      <c r="F14" s="14"/>
      <c r="G14" s="15"/>
      <c r="H14" s="19"/>
      <c r="I14" s="19"/>
      <c r="J14" s="19"/>
    </row>
    <row r="15" spans="1:10" s="1" customFormat="1" x14ac:dyDescent="0.55000000000000004">
      <c r="A15" s="32"/>
      <c r="B15" s="470"/>
      <c r="C15" s="469"/>
      <c r="D15" s="469"/>
      <c r="E15" s="469"/>
      <c r="F15" s="469"/>
      <c r="G15" s="471"/>
      <c r="H15" s="260"/>
      <c r="I15" s="260"/>
      <c r="J15" s="260"/>
    </row>
    <row r="16" spans="1:10" s="1" customFormat="1" x14ac:dyDescent="0.55000000000000004">
      <c r="A16" s="32"/>
      <c r="B16" s="470"/>
      <c r="C16" s="469"/>
      <c r="D16" s="469"/>
      <c r="E16" s="469"/>
      <c r="F16" s="469"/>
      <c r="G16" s="471"/>
      <c r="H16" s="260"/>
      <c r="I16" s="260"/>
      <c r="J16" s="260"/>
    </row>
    <row r="17" spans="1:13" s="1" customFormat="1" x14ac:dyDescent="0.55000000000000004">
      <c r="A17" s="32"/>
      <c r="B17" s="470"/>
      <c r="C17" s="469"/>
      <c r="D17" s="469"/>
      <c r="E17" s="469"/>
      <c r="F17" s="469"/>
      <c r="G17" s="471"/>
      <c r="H17" s="260"/>
      <c r="I17" s="260"/>
      <c r="J17" s="260"/>
    </row>
    <row r="18" spans="1:13" s="1" customFormat="1" x14ac:dyDescent="0.55000000000000004">
      <c r="A18" s="32"/>
      <c r="B18" s="470"/>
      <c r="C18" s="469"/>
      <c r="D18" s="469"/>
      <c r="E18" s="469"/>
      <c r="F18" s="469"/>
      <c r="G18" s="471"/>
      <c r="H18" s="260"/>
      <c r="I18" s="260"/>
      <c r="J18" s="260"/>
    </row>
    <row r="19" spans="1:13" x14ac:dyDescent="0.55000000000000004">
      <c r="A19" s="17"/>
      <c r="B19" s="13" t="s">
        <v>125</v>
      </c>
      <c r="C19" s="14"/>
      <c r="D19" s="14"/>
      <c r="E19" s="14"/>
      <c r="F19" s="14"/>
      <c r="G19" s="15"/>
      <c r="H19" s="19"/>
      <c r="I19" s="19"/>
      <c r="J19" s="19"/>
    </row>
    <row r="20" spans="1:13" s="1" customFormat="1" x14ac:dyDescent="0.55000000000000004">
      <c r="A20" s="32"/>
      <c r="B20" s="470"/>
      <c r="C20" s="469"/>
      <c r="D20" s="469"/>
      <c r="E20" s="469"/>
      <c r="F20" s="469"/>
      <c r="G20" s="471"/>
      <c r="H20" s="260"/>
      <c r="I20" s="260"/>
      <c r="J20" s="260"/>
    </row>
    <row r="21" spans="1:13" s="1" customFormat="1" x14ac:dyDescent="0.55000000000000004">
      <c r="A21" s="32"/>
      <c r="B21" s="470"/>
      <c r="C21" s="469"/>
      <c r="D21" s="469"/>
      <c r="E21" s="469"/>
      <c r="F21" s="469"/>
      <c r="G21" s="471"/>
      <c r="H21" s="260"/>
      <c r="I21" s="260"/>
      <c r="J21" s="260"/>
    </row>
    <row r="22" spans="1:13" s="1" customFormat="1" x14ac:dyDescent="0.55000000000000004">
      <c r="A22" s="34"/>
      <c r="B22" s="473"/>
      <c r="C22" s="474"/>
      <c r="D22" s="474"/>
      <c r="E22" s="474"/>
      <c r="F22" s="474"/>
      <c r="G22" s="475"/>
      <c r="H22" s="260"/>
      <c r="I22" s="260"/>
      <c r="J22" s="260"/>
    </row>
    <row r="23" spans="1:13" x14ac:dyDescent="0.55000000000000004">
      <c r="A23" s="115" t="s">
        <v>11</v>
      </c>
      <c r="B23" s="51"/>
      <c r="C23" s="51"/>
      <c r="D23" s="51"/>
      <c r="E23" s="51"/>
      <c r="F23" s="51"/>
      <c r="G23" s="51"/>
      <c r="H23" s="261"/>
      <c r="I23" s="261"/>
      <c r="J23" s="261"/>
    </row>
    <row r="24" spans="1:13" ht="65.25" x14ac:dyDescent="0.55000000000000004">
      <c r="A24" s="476" t="s">
        <v>12</v>
      </c>
      <c r="B24" s="476"/>
      <c r="C24" s="476"/>
      <c r="D24" s="121" t="s">
        <v>13</v>
      </c>
      <c r="E24" s="121" t="s">
        <v>401</v>
      </c>
      <c r="F24" s="121" t="s">
        <v>402</v>
      </c>
      <c r="G24" s="121" t="s">
        <v>16</v>
      </c>
      <c r="H24" s="257"/>
      <c r="I24" s="257"/>
      <c r="J24" s="257"/>
      <c r="L24" s="2">
        <v>0</v>
      </c>
    </row>
    <row r="25" spans="1:13" ht="42.75" customHeight="1" x14ac:dyDescent="0.55000000000000004">
      <c r="A25" s="477" t="s">
        <v>29</v>
      </c>
      <c r="B25" s="477"/>
      <c r="C25" s="477"/>
      <c r="D25" s="123">
        <v>3</v>
      </c>
      <c r="E25" s="123">
        <v>3</v>
      </c>
      <c r="F25" s="122">
        <f>E25</f>
        <v>3</v>
      </c>
      <c r="G25" s="221" t="str">
        <f>IF(E25&gt;=D25,"บรรลุ","ไม่บรรลุ")</f>
        <v>บรรลุ</v>
      </c>
      <c r="H25" s="262"/>
      <c r="I25" s="262"/>
      <c r="J25" s="262"/>
      <c r="L25" s="59">
        <v>1</v>
      </c>
      <c r="M25" s="5"/>
    </row>
    <row r="26" spans="1:13" x14ac:dyDescent="0.55000000000000004">
      <c r="A26" s="294"/>
      <c r="B26" s="294"/>
      <c r="C26" s="294"/>
      <c r="D26" s="294"/>
      <c r="E26" s="294"/>
      <c r="F26" s="294"/>
      <c r="G26" s="294"/>
      <c r="H26" s="261"/>
      <c r="I26" s="261"/>
      <c r="J26" s="261"/>
      <c r="L26" s="5">
        <v>2</v>
      </c>
      <c r="M26" s="5"/>
    </row>
    <row r="27" spans="1:13" x14ac:dyDescent="0.55000000000000004">
      <c r="A27" s="294"/>
      <c r="B27" s="294"/>
      <c r="C27" s="294"/>
      <c r="D27" s="420"/>
      <c r="E27" s="294"/>
      <c r="F27" s="294"/>
      <c r="G27" s="294"/>
      <c r="H27" s="261"/>
      <c r="I27" s="261"/>
      <c r="J27" s="261"/>
      <c r="L27" s="59">
        <v>3</v>
      </c>
      <c r="M27" s="5"/>
    </row>
    <row r="28" spans="1:13" x14ac:dyDescent="0.55000000000000004">
      <c r="A28" s="294"/>
      <c r="B28" s="294"/>
      <c r="C28" s="294"/>
      <c r="D28" s="294"/>
      <c r="E28" s="294"/>
      <c r="F28" s="294"/>
      <c r="G28" s="294"/>
      <c r="H28" s="261"/>
      <c r="I28" s="261"/>
      <c r="J28" s="261"/>
      <c r="L28" s="5">
        <v>4</v>
      </c>
      <c r="M28" s="5"/>
    </row>
    <row r="29" spans="1:13" x14ac:dyDescent="0.55000000000000004">
      <c r="A29" s="51"/>
      <c r="B29" s="51"/>
      <c r="C29" s="51"/>
      <c r="D29" s="51"/>
      <c r="E29" s="51"/>
      <c r="F29" s="51"/>
      <c r="G29" s="51"/>
      <c r="H29" s="261"/>
      <c r="I29" s="261"/>
      <c r="J29" s="261"/>
      <c r="L29" s="59">
        <v>5</v>
      </c>
      <c r="M29" s="5"/>
    </row>
    <row r="30" spans="1:13" x14ac:dyDescent="0.55000000000000004">
      <c r="A30" s="51"/>
      <c r="B30" s="51"/>
      <c r="C30" s="51"/>
      <c r="D30" s="51"/>
      <c r="E30" s="51"/>
      <c r="F30" s="51"/>
      <c r="G30" s="51"/>
      <c r="H30" s="261"/>
      <c r="I30" s="261"/>
      <c r="J30" s="261"/>
    </row>
    <row r="31" spans="1:13" x14ac:dyDescent="0.55000000000000004">
      <c r="A31" s="51"/>
      <c r="B31" s="51"/>
      <c r="C31" s="51"/>
      <c r="D31" s="51"/>
      <c r="E31" s="51"/>
      <c r="F31" s="51"/>
      <c r="G31" s="51"/>
      <c r="H31" s="261"/>
      <c r="I31" s="261"/>
      <c r="J31" s="261"/>
    </row>
  </sheetData>
  <sheetProtection sheet="1" objects="1" scenarios="1" formatCells="0" formatRows="0" insertRows="0" deleteRows="0"/>
  <mergeCells count="16">
    <mergeCell ref="B21:G21"/>
    <mergeCell ref="B22:G22"/>
    <mergeCell ref="A24:C24"/>
    <mergeCell ref="A25:C25"/>
    <mergeCell ref="B13:G13"/>
    <mergeCell ref="B15:G15"/>
    <mergeCell ref="B16:G16"/>
    <mergeCell ref="B17:G17"/>
    <mergeCell ref="B18:G18"/>
    <mergeCell ref="B20:G20"/>
    <mergeCell ref="B12:G12"/>
    <mergeCell ref="A1:G1"/>
    <mergeCell ref="B3:G3"/>
    <mergeCell ref="B9:G9"/>
    <mergeCell ref="B10:G10"/>
    <mergeCell ref="B11:G11"/>
  </mergeCells>
  <dataValidations count="1">
    <dataValidation type="list" allowBlank="1" showInputMessage="1" showErrorMessage="1" sqref="D25:E25">
      <formula1>$L$24:$L$29</formula1>
    </dataValidation>
  </dataValidations>
  <hyperlinks>
    <hyperlink ref="H4" location="ข้อมูลพื้นฐาน!A1" display="Main Menu"/>
    <hyperlink ref="H5" location="'หมวด1-1.1'!A1" display="&lt;&lt; Previous ตัวบ่งชี้ที่ 4.1"/>
    <hyperlink ref="H6" location="'หมวด2-4.2'!A1" display="Next &gt;&gt; ตัวบ่งชี้ที่ 4.2"/>
  </hyperlinks>
  <printOptions horizontalCentered="1"/>
  <pageMargins left="1.1023622047244095" right="0.70866141732283472" top="1.1417322834645669" bottom="0.74803149606299213" header="0.31496062992125984" footer="0.31496062992125984"/>
  <pageSetup paperSize="9" orientation="portrait" blackAndWhite="1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4" tint="0.79998168889431442"/>
  </sheetPr>
  <dimension ref="A1:X130"/>
  <sheetViews>
    <sheetView showGridLines="0" zoomScale="115" zoomScaleNormal="115" zoomScaleSheetLayoutView="115" workbookViewId="0">
      <selection activeCell="C4" sqref="C4"/>
    </sheetView>
  </sheetViews>
  <sheetFormatPr defaultRowHeight="24" x14ac:dyDescent="0.55000000000000004"/>
  <cols>
    <col min="1" max="1" width="6.5" style="16" customWidth="1"/>
    <col min="2" max="22" width="3.5" style="16" customWidth="1"/>
    <col min="23" max="23" width="36.5" style="128" customWidth="1"/>
    <col min="24" max="24" width="23.875" style="16" hidden="1" customWidth="1"/>
    <col min="25" max="25" width="0" style="16" hidden="1" customWidth="1"/>
    <col min="26" max="16384" width="9" style="16"/>
  </cols>
  <sheetData>
    <row r="1" spans="1:24" x14ac:dyDescent="0.55000000000000004">
      <c r="A1" s="124" t="s">
        <v>22</v>
      </c>
      <c r="W1" s="283" t="s">
        <v>57</v>
      </c>
    </row>
    <row r="2" spans="1:24" ht="21" customHeight="1" x14ac:dyDescent="0.55000000000000004">
      <c r="A2" s="190" t="s">
        <v>12</v>
      </c>
      <c r="B2" s="521" t="s">
        <v>23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3"/>
      <c r="W2" s="285" t="s">
        <v>58</v>
      </c>
    </row>
    <row r="3" spans="1:24" x14ac:dyDescent="0.55000000000000004">
      <c r="A3" s="12">
        <v>4.2</v>
      </c>
      <c r="B3" s="194" t="s">
        <v>30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4" x14ac:dyDescent="0.55000000000000004">
      <c r="A4" s="17"/>
      <c r="B4" s="13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286" t="s">
        <v>346</v>
      </c>
    </row>
    <row r="5" spans="1:24" x14ac:dyDescent="0.55000000000000004">
      <c r="A5" s="17"/>
      <c r="B5" s="13" t="s">
        <v>28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288" t="s">
        <v>369</v>
      </c>
    </row>
    <row r="6" spans="1:24" x14ac:dyDescent="0.55000000000000004">
      <c r="A6" s="17"/>
      <c r="B6" s="18" t="str">
        <f>"อาจารย์ประจำหลักสูตร จำนวน "&amp;ข้อมูลพื้นฐาน!D11&amp;" คน มีคุณวุฒิปริญญาเอก จำนวน "&amp;COUNTIF(ข้อมูลพื้นฐาน!C13:C32,"ดร.")&amp;" คน ได้แก่"</f>
        <v>อาจารย์ประจำหลักสูตร จำนวน 2 คน มีคุณวุฒิปริญญาเอก จำนวน 0 คน ได้แก่</v>
      </c>
      <c r="C6" s="14"/>
      <c r="D6" s="19"/>
      <c r="E6" s="14"/>
      <c r="F6" s="14"/>
      <c r="G6" s="19"/>
      <c r="H6" s="14"/>
      <c r="I6" s="14"/>
      <c r="J6" s="14"/>
      <c r="K6" s="14"/>
      <c r="L6" s="14"/>
      <c r="M6" s="14"/>
      <c r="N6" s="14"/>
      <c r="O6" s="14"/>
      <c r="Q6" s="14"/>
      <c r="R6" s="14"/>
      <c r="S6" s="14"/>
      <c r="T6" s="14"/>
      <c r="U6" s="14"/>
      <c r="V6" s="15"/>
      <c r="W6" s="288" t="s">
        <v>367</v>
      </c>
    </row>
    <row r="7" spans="1:24" x14ac:dyDescent="0.55000000000000004">
      <c r="A7" s="17"/>
      <c r="B7" s="20"/>
      <c r="C7" s="21" t="s">
        <v>72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</row>
    <row r="8" spans="1:24" s="128" customFormat="1" x14ac:dyDescent="0.55000000000000004">
      <c r="A8" s="32"/>
      <c r="B8" s="169">
        <v>1</v>
      </c>
      <c r="C8" s="493"/>
      <c r="D8" s="493"/>
      <c r="E8" s="493"/>
      <c r="F8" s="493"/>
      <c r="G8" s="493"/>
      <c r="H8" s="493"/>
      <c r="I8" s="493"/>
      <c r="J8" s="493"/>
      <c r="K8" s="493"/>
      <c r="L8" s="170"/>
      <c r="M8" s="170">
        <v>6</v>
      </c>
      <c r="N8" s="493"/>
      <c r="O8" s="493"/>
      <c r="P8" s="493"/>
      <c r="Q8" s="493"/>
      <c r="R8" s="493"/>
      <c r="S8" s="493"/>
      <c r="T8" s="493"/>
      <c r="U8" s="493"/>
      <c r="V8" s="494"/>
      <c r="X8" s="128" t="str">
        <f>ข้อมูลพื้นฐาน!G13</f>
        <v>ผศ.ชื่อ-สกุล ไม่ใส่คำนำหน้า</v>
      </c>
    </row>
    <row r="9" spans="1:24" s="128" customFormat="1" x14ac:dyDescent="0.55000000000000004">
      <c r="A9" s="32"/>
      <c r="B9" s="169">
        <v>2</v>
      </c>
      <c r="C9" s="493"/>
      <c r="D9" s="493"/>
      <c r="E9" s="493"/>
      <c r="F9" s="493"/>
      <c r="G9" s="493"/>
      <c r="H9" s="493"/>
      <c r="I9" s="493"/>
      <c r="J9" s="493"/>
      <c r="K9" s="493"/>
      <c r="L9" s="170"/>
      <c r="M9" s="170">
        <v>7</v>
      </c>
      <c r="N9" s="493"/>
      <c r="O9" s="493"/>
      <c r="P9" s="493"/>
      <c r="Q9" s="493"/>
      <c r="R9" s="493"/>
      <c r="S9" s="493"/>
      <c r="T9" s="493"/>
      <c r="U9" s="493"/>
      <c r="V9" s="494"/>
      <c r="X9" s="128" t="str">
        <f>ข้อมูลพื้นฐาน!G14</f>
        <v>อาจารย์ชื่อ-สกุล ไม่ใส่คำนำหน้า</v>
      </c>
    </row>
    <row r="10" spans="1:24" s="128" customFormat="1" x14ac:dyDescent="0.55000000000000004">
      <c r="A10" s="32"/>
      <c r="B10" s="169">
        <v>3</v>
      </c>
      <c r="C10" s="493"/>
      <c r="D10" s="493"/>
      <c r="E10" s="493"/>
      <c r="F10" s="493"/>
      <c r="G10" s="493"/>
      <c r="H10" s="493"/>
      <c r="I10" s="493"/>
      <c r="J10" s="493"/>
      <c r="K10" s="493"/>
      <c r="L10" s="170"/>
      <c r="M10" s="170">
        <v>8</v>
      </c>
      <c r="N10" s="493"/>
      <c r="O10" s="493"/>
      <c r="P10" s="493"/>
      <c r="Q10" s="493"/>
      <c r="R10" s="493"/>
      <c r="S10" s="493"/>
      <c r="T10" s="493"/>
      <c r="U10" s="493"/>
      <c r="V10" s="494"/>
      <c r="X10" s="128" t="str">
        <f>ข้อมูลพื้นฐาน!G15</f>
        <v/>
      </c>
    </row>
    <row r="11" spans="1:24" s="128" customFormat="1" x14ac:dyDescent="0.55000000000000004">
      <c r="A11" s="32"/>
      <c r="B11" s="169">
        <v>4</v>
      </c>
      <c r="C11" s="493"/>
      <c r="D11" s="493"/>
      <c r="E11" s="493"/>
      <c r="F11" s="493"/>
      <c r="G11" s="493"/>
      <c r="H11" s="493"/>
      <c r="I11" s="493"/>
      <c r="J11" s="493"/>
      <c r="K11" s="493"/>
      <c r="L11" s="170"/>
      <c r="M11" s="170">
        <v>9</v>
      </c>
      <c r="N11" s="493"/>
      <c r="O11" s="493"/>
      <c r="P11" s="493"/>
      <c r="Q11" s="493"/>
      <c r="R11" s="493"/>
      <c r="S11" s="493"/>
      <c r="T11" s="493"/>
      <c r="U11" s="493"/>
      <c r="V11" s="494"/>
      <c r="X11" s="128" t="str">
        <f>ข้อมูลพื้นฐาน!G16</f>
        <v/>
      </c>
    </row>
    <row r="12" spans="1:24" s="128" customFormat="1" x14ac:dyDescent="0.55000000000000004">
      <c r="A12" s="32"/>
      <c r="B12" s="169">
        <v>5</v>
      </c>
      <c r="C12" s="493"/>
      <c r="D12" s="493"/>
      <c r="E12" s="493"/>
      <c r="F12" s="493"/>
      <c r="G12" s="493"/>
      <c r="H12" s="493"/>
      <c r="I12" s="493"/>
      <c r="J12" s="493"/>
      <c r="K12" s="493"/>
      <c r="L12" s="170"/>
      <c r="M12" s="170">
        <v>10</v>
      </c>
      <c r="N12" s="493"/>
      <c r="O12" s="493"/>
      <c r="P12" s="493"/>
      <c r="Q12" s="493"/>
      <c r="R12" s="493"/>
      <c r="S12" s="493"/>
      <c r="T12" s="493"/>
      <c r="U12" s="493"/>
      <c r="V12" s="494"/>
      <c r="X12" s="128" t="str">
        <f>ข้อมูลพื้นฐาน!G17</f>
        <v/>
      </c>
    </row>
    <row r="13" spans="1:24" x14ac:dyDescent="0.55000000000000004">
      <c r="A13" s="17"/>
      <c r="B13" s="18" t="str">
        <f>"ค่าร้อยละของอาจารย์ประจำที่มีคุณวุฒิปริญญาเอกเท่ากับ  "&amp;K17&amp;" คะแนนที่ได้ = "&amp;K20</f>
        <v>ค่าร้อยละของอาจารย์ประจำที่มีคุณวุฒิปริญญาเอกเท่ากับ  0 คะแนนที่ได้ = 0</v>
      </c>
      <c r="C13" s="24"/>
      <c r="D13" s="24"/>
      <c r="E13" s="24"/>
      <c r="F13" s="24"/>
      <c r="G13" s="2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X13" s="128" t="str">
        <f>ข้อมูลพื้นฐาน!G18</f>
        <v/>
      </c>
    </row>
    <row r="14" spans="1:24" x14ac:dyDescent="0.55000000000000004">
      <c r="A14" s="17"/>
      <c r="B14" s="18" t="s">
        <v>32</v>
      </c>
      <c r="C14" s="24"/>
      <c r="D14" s="24"/>
      <c r="E14" s="24"/>
      <c r="F14" s="24"/>
      <c r="G14" s="2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5"/>
      <c r="X14" s="128" t="str">
        <f>ข้อมูลพื้นฐาน!G19</f>
        <v/>
      </c>
    </row>
    <row r="15" spans="1:24" x14ac:dyDescent="0.55000000000000004">
      <c r="A15" s="17"/>
      <c r="B15" s="13" t="s">
        <v>33</v>
      </c>
      <c r="C15" s="24"/>
      <c r="D15" s="24"/>
      <c r="E15" s="24"/>
      <c r="F15" s="24"/>
      <c r="G15" s="2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5"/>
      <c r="X15" s="128" t="str">
        <f>ข้อมูลพื้นฐาน!G20</f>
        <v/>
      </c>
    </row>
    <row r="16" spans="1:24" x14ac:dyDescent="0.55000000000000004">
      <c r="A16" s="17"/>
      <c r="B16" s="25" t="s">
        <v>34</v>
      </c>
      <c r="C16" s="24"/>
      <c r="D16" s="24"/>
      <c r="E16" s="24"/>
      <c r="F16" s="24"/>
      <c r="G16" s="2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  <c r="X16" s="128" t="str">
        <f>ข้อมูลพื้นฐาน!G21</f>
        <v/>
      </c>
    </row>
    <row r="17" spans="1:24" x14ac:dyDescent="0.55000000000000004">
      <c r="A17" s="17"/>
      <c r="B17" s="18"/>
      <c r="C17" s="14"/>
      <c r="D17" s="14"/>
      <c r="E17" s="14"/>
      <c r="F17" s="24"/>
      <c r="G17" s="511">
        <f>COUNTIF(ข้อมูลพื้นฐาน!C13:C32,"ดร.")</f>
        <v>0</v>
      </c>
      <c r="H17" s="511"/>
      <c r="I17" s="497" t="s">
        <v>35</v>
      </c>
      <c r="J17" s="497"/>
      <c r="K17" s="495">
        <f>ROUND(G17/G18*100,2)</f>
        <v>0</v>
      </c>
      <c r="L17" s="495"/>
      <c r="M17" s="495"/>
      <c r="N17" s="14"/>
      <c r="O17" s="14"/>
      <c r="P17" s="14"/>
      <c r="Q17" s="14"/>
      <c r="R17" s="14"/>
      <c r="S17" s="14"/>
      <c r="T17" s="14"/>
      <c r="U17" s="14"/>
      <c r="V17" s="15"/>
      <c r="X17" s="128" t="str">
        <f>ข้อมูลพื้นฐาน!G22</f>
        <v/>
      </c>
    </row>
    <row r="18" spans="1:24" x14ac:dyDescent="0.55000000000000004">
      <c r="A18" s="17"/>
      <c r="B18" s="18"/>
      <c r="C18" s="14"/>
      <c r="D18" s="26"/>
      <c r="E18" s="26"/>
      <c r="F18" s="24"/>
      <c r="G18" s="497">
        <f>ข้อมูลพื้นฐาน!D11</f>
        <v>2</v>
      </c>
      <c r="H18" s="497"/>
      <c r="I18" s="497"/>
      <c r="J18" s="497"/>
      <c r="K18" s="495"/>
      <c r="L18" s="495"/>
      <c r="M18" s="495"/>
      <c r="N18" s="14"/>
      <c r="O18" s="14"/>
      <c r="P18" s="14"/>
      <c r="Q18" s="14"/>
      <c r="R18" s="14"/>
      <c r="S18" s="14"/>
      <c r="T18" s="14"/>
      <c r="U18" s="14"/>
      <c r="V18" s="15"/>
      <c r="X18" s="128" t="str">
        <f>ข้อมูลพื้นฐาน!G23</f>
        <v/>
      </c>
    </row>
    <row r="19" spans="1:24" x14ac:dyDescent="0.55000000000000004">
      <c r="A19" s="17"/>
      <c r="B19" s="25" t="s">
        <v>55</v>
      </c>
      <c r="C19" s="24"/>
      <c r="D19" s="24"/>
      <c r="E19" s="24"/>
      <c r="F19" s="24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X19" s="128" t="str">
        <f>ข้อมูลพื้นฐาน!G24</f>
        <v/>
      </c>
    </row>
    <row r="20" spans="1:24" x14ac:dyDescent="0.55000000000000004">
      <c r="A20" s="17"/>
      <c r="B20" s="18"/>
      <c r="C20" s="14"/>
      <c r="D20" s="14"/>
      <c r="E20" s="14"/>
      <c r="F20" s="24"/>
      <c r="G20" s="511">
        <f>K17</f>
        <v>0</v>
      </c>
      <c r="H20" s="511"/>
      <c r="I20" s="497" t="s">
        <v>56</v>
      </c>
      <c r="J20" s="497"/>
      <c r="K20" s="496">
        <f>IF(G20/G21*5&gt;5,5,ROUND(G20/G21*5,2))</f>
        <v>0</v>
      </c>
      <c r="L20" s="496"/>
      <c r="M20" s="496"/>
      <c r="N20" s="14"/>
      <c r="O20" s="14"/>
      <c r="P20" s="14"/>
      <c r="Q20" s="14"/>
      <c r="R20" s="14"/>
      <c r="S20" s="14"/>
      <c r="T20" s="14"/>
      <c r="U20" s="14"/>
      <c r="V20" s="15"/>
      <c r="X20" s="128" t="str">
        <f>ข้อมูลพื้นฐาน!G25</f>
        <v/>
      </c>
    </row>
    <row r="21" spans="1:24" x14ac:dyDescent="0.55000000000000004">
      <c r="A21" s="17"/>
      <c r="B21" s="18"/>
      <c r="C21" s="14"/>
      <c r="D21" s="26"/>
      <c r="E21" s="26"/>
      <c r="F21" s="24"/>
      <c r="G21" s="512">
        <f>IF(OR(เกณฑ์=1,เกณฑ์=2),20,IF(OR(เกณฑ์=3,เกณฑ์=4),60,IF(OR(เกณฑ์=5,เกณฑ์=6),100,"กรุณาเลือกระดับ")))</f>
        <v>20</v>
      </c>
      <c r="H21" s="512"/>
      <c r="I21" s="497"/>
      <c r="J21" s="497"/>
      <c r="K21" s="496"/>
      <c r="L21" s="496"/>
      <c r="M21" s="496"/>
      <c r="N21" s="14"/>
      <c r="O21" s="14"/>
      <c r="P21" s="14"/>
      <c r="Q21" s="14"/>
      <c r="R21" s="14"/>
      <c r="S21" s="14"/>
      <c r="T21" s="14"/>
      <c r="U21" s="14"/>
      <c r="V21" s="15"/>
      <c r="X21" s="128" t="str">
        <f>ข้อมูลพื้นฐาน!G26</f>
        <v/>
      </c>
    </row>
    <row r="22" spans="1:24" x14ac:dyDescent="0.55000000000000004">
      <c r="A22" s="17"/>
      <c r="B22" s="13" t="s">
        <v>47</v>
      </c>
      <c r="C22" s="24"/>
      <c r="D22" s="24"/>
      <c r="E22" s="24"/>
      <c r="F22" s="24"/>
      <c r="G22" s="2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X22" s="128" t="str">
        <f>ข้อมูลพื้นฐาน!G27</f>
        <v/>
      </c>
    </row>
    <row r="23" spans="1:24" x14ac:dyDescent="0.55000000000000004">
      <c r="A23" s="17"/>
      <c r="B23" s="195"/>
      <c r="D23" s="537" t="s">
        <v>47</v>
      </c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9"/>
      <c r="Q23" s="543" t="s">
        <v>50</v>
      </c>
      <c r="R23" s="544"/>
      <c r="S23" s="14"/>
      <c r="T23" s="14"/>
      <c r="U23" s="14"/>
      <c r="V23" s="15"/>
      <c r="X23" s="128" t="str">
        <f>ข้อมูลพื้นฐาน!G28</f>
        <v/>
      </c>
    </row>
    <row r="24" spans="1:24" ht="21" customHeight="1" x14ac:dyDescent="0.55000000000000004">
      <c r="A24" s="17"/>
      <c r="B24" s="195"/>
      <c r="D24" s="540" t="s">
        <v>48</v>
      </c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2"/>
      <c r="Q24" s="543" t="str">
        <f>G18&amp;" คน"</f>
        <v>2 คน</v>
      </c>
      <c r="R24" s="544"/>
      <c r="S24" s="14"/>
      <c r="T24" s="14"/>
      <c r="U24" s="14"/>
      <c r="V24" s="15"/>
      <c r="X24" s="128" t="str">
        <f>ข้อมูลพื้นฐาน!G29</f>
        <v/>
      </c>
    </row>
    <row r="25" spans="1:24" ht="21" customHeight="1" x14ac:dyDescent="0.55000000000000004">
      <c r="A25" s="17"/>
      <c r="B25" s="195"/>
      <c r="D25" s="540" t="s">
        <v>49</v>
      </c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2"/>
      <c r="Q25" s="543" t="str">
        <f>G17&amp;" คน"</f>
        <v>0 คน</v>
      </c>
      <c r="R25" s="544"/>
      <c r="S25" s="14"/>
      <c r="T25" s="14"/>
      <c r="U25" s="14"/>
      <c r="V25" s="15"/>
      <c r="X25" s="128" t="str">
        <f>ข้อมูลพื้นฐาน!G30</f>
        <v/>
      </c>
    </row>
    <row r="26" spans="1:24" x14ac:dyDescent="0.55000000000000004">
      <c r="A26" s="17"/>
      <c r="B26" s="13" t="s">
        <v>73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X26" s="128" t="str">
        <f>ข้อมูลพื้นฐาน!G31</f>
        <v/>
      </c>
    </row>
    <row r="27" spans="1:24" s="128" customFormat="1" x14ac:dyDescent="0.55000000000000004">
      <c r="A27" s="32"/>
      <c r="B27" s="470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71"/>
      <c r="X27" s="128" t="str">
        <f>ข้อมูลพื้นฐาน!G32</f>
        <v/>
      </c>
    </row>
    <row r="28" spans="1:24" s="128" customFormat="1" x14ac:dyDescent="0.55000000000000004">
      <c r="A28" s="32"/>
      <c r="B28" s="470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71"/>
    </row>
    <row r="29" spans="1:24" s="128" customFormat="1" x14ac:dyDescent="0.55000000000000004">
      <c r="A29" s="32"/>
      <c r="B29" s="470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71"/>
    </row>
    <row r="30" spans="1:24" s="128" customFormat="1" x14ac:dyDescent="0.55000000000000004">
      <c r="A30" s="32"/>
      <c r="B30" s="470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71"/>
    </row>
    <row r="31" spans="1:24" x14ac:dyDescent="0.55000000000000004">
      <c r="A31" s="17"/>
      <c r="B31" s="13" t="s">
        <v>125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</row>
    <row r="32" spans="1:24" s="128" customFormat="1" x14ac:dyDescent="0.55000000000000004">
      <c r="A32" s="32"/>
      <c r="B32" s="470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71"/>
    </row>
    <row r="33" spans="1:23" s="128" customFormat="1" x14ac:dyDescent="0.55000000000000004">
      <c r="A33" s="32"/>
      <c r="B33" s="470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69"/>
      <c r="S33" s="469"/>
      <c r="T33" s="469"/>
      <c r="U33" s="469"/>
      <c r="V33" s="471"/>
    </row>
    <row r="34" spans="1:23" s="128" customFormat="1" x14ac:dyDescent="0.55000000000000004">
      <c r="A34" s="34"/>
      <c r="B34" s="530"/>
      <c r="C34" s="531"/>
      <c r="D34" s="531"/>
      <c r="E34" s="531"/>
      <c r="F34" s="531"/>
      <c r="G34" s="531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2"/>
    </row>
    <row r="35" spans="1:23" x14ac:dyDescent="0.55000000000000004">
      <c r="A35" s="1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3" x14ac:dyDescent="0.55000000000000004">
      <c r="A36" s="1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3" x14ac:dyDescent="0.55000000000000004">
      <c r="A37" s="1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</row>
    <row r="38" spans="1:23" x14ac:dyDescent="0.55000000000000004">
      <c r="A38" s="35" t="s">
        <v>11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3" ht="60" customHeight="1" x14ac:dyDescent="0.55000000000000004">
      <c r="A39" s="476" t="s">
        <v>12</v>
      </c>
      <c r="B39" s="476"/>
      <c r="C39" s="476"/>
      <c r="D39" s="476"/>
      <c r="E39" s="476"/>
      <c r="F39" s="476"/>
      <c r="G39" s="476"/>
      <c r="H39" s="476"/>
      <c r="I39" s="476"/>
      <c r="J39" s="476"/>
      <c r="K39" s="476" t="s">
        <v>13</v>
      </c>
      <c r="L39" s="476"/>
      <c r="M39" s="476"/>
      <c r="N39" s="476" t="s">
        <v>14</v>
      </c>
      <c r="O39" s="476"/>
      <c r="P39" s="476"/>
      <c r="Q39" s="476" t="s">
        <v>403</v>
      </c>
      <c r="R39" s="476"/>
      <c r="S39" s="476"/>
      <c r="T39" s="476" t="s">
        <v>16</v>
      </c>
      <c r="U39" s="476"/>
      <c r="V39" s="476"/>
    </row>
    <row r="40" spans="1:23" ht="40.5" customHeight="1" x14ac:dyDescent="0.55000000000000004">
      <c r="A40" s="477" t="s">
        <v>31</v>
      </c>
      <c r="B40" s="477"/>
      <c r="C40" s="477"/>
      <c r="D40" s="477"/>
      <c r="E40" s="477"/>
      <c r="F40" s="477"/>
      <c r="G40" s="477"/>
      <c r="H40" s="477"/>
      <c r="I40" s="477"/>
      <c r="J40" s="477"/>
      <c r="K40" s="520">
        <v>20</v>
      </c>
      <c r="L40" s="520"/>
      <c r="M40" s="520"/>
      <c r="N40" s="529">
        <f>K17</f>
        <v>0</v>
      </c>
      <c r="O40" s="529"/>
      <c r="P40" s="529"/>
      <c r="Q40" s="528">
        <f>K20</f>
        <v>0</v>
      </c>
      <c r="R40" s="528"/>
      <c r="S40" s="528"/>
      <c r="T40" s="527" t="str">
        <f>IF(G17/G18*100&gt;=K40,"บรรลุ","ไม่บรรลุ")</f>
        <v>ไม่บรรลุ</v>
      </c>
      <c r="U40" s="527"/>
      <c r="V40" s="527"/>
    </row>
    <row r="41" spans="1:23" s="2" customFormat="1" ht="40.5" customHeight="1" x14ac:dyDescent="0.55000000000000004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1"/>
    </row>
    <row r="42" spans="1:23" ht="21" customHeight="1" x14ac:dyDescent="0.55000000000000004">
      <c r="A42" s="89" t="s">
        <v>12</v>
      </c>
      <c r="B42" s="521" t="s">
        <v>23</v>
      </c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3"/>
    </row>
    <row r="43" spans="1:23" x14ac:dyDescent="0.55000000000000004">
      <c r="A43" s="12">
        <v>4.2</v>
      </c>
      <c r="B43" s="194" t="s">
        <v>30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1"/>
    </row>
    <row r="44" spans="1:23" x14ac:dyDescent="0.55000000000000004">
      <c r="A44" s="17"/>
      <c r="B44" s="13" t="s">
        <v>53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5"/>
    </row>
    <row r="45" spans="1:23" x14ac:dyDescent="0.55000000000000004">
      <c r="A45" s="17"/>
      <c r="B45" s="13" t="s">
        <v>28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5"/>
    </row>
    <row r="46" spans="1:23" x14ac:dyDescent="0.55000000000000004">
      <c r="A46" s="17"/>
      <c r="B46" s="18" t="str">
        <f>"อาจารย์ประจำหลักสูตร จำนวน "&amp;ข้อมูลพื้นฐาน!D11&amp;" คน ดำรงตำแหน่งทางวิชาการ จำนวน "&amp;COUNTA(ข้อมูลพื้นฐาน!B13:B32)&amp;" คน ได้แก่"</f>
        <v>อาจารย์ประจำหลักสูตร จำนวน 2 คน ดำรงตำแหน่งทางวิชาการ จำนวน 1 คน ได้แก่</v>
      </c>
      <c r="C46" s="14"/>
      <c r="D46" s="19"/>
      <c r="E46" s="14"/>
      <c r="F46" s="14"/>
      <c r="G46" s="1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5"/>
    </row>
    <row r="47" spans="1:23" x14ac:dyDescent="0.55000000000000004">
      <c r="A47" s="17"/>
      <c r="B47" s="20"/>
      <c r="C47" s="21" t="s">
        <v>76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</row>
    <row r="48" spans="1:23" s="128" customFormat="1" x14ac:dyDescent="0.55000000000000004">
      <c r="A48" s="32"/>
      <c r="B48" s="169">
        <v>1</v>
      </c>
      <c r="C48" s="493"/>
      <c r="D48" s="493"/>
      <c r="E48" s="493"/>
      <c r="F48" s="493"/>
      <c r="G48" s="493"/>
      <c r="H48" s="493"/>
      <c r="I48" s="493"/>
      <c r="J48" s="493"/>
      <c r="K48" s="493"/>
      <c r="L48" s="170"/>
      <c r="M48" s="170">
        <v>6</v>
      </c>
      <c r="N48" s="493"/>
      <c r="O48" s="493"/>
      <c r="P48" s="493"/>
      <c r="Q48" s="493"/>
      <c r="R48" s="493"/>
      <c r="S48" s="493"/>
      <c r="T48" s="493"/>
      <c r="U48" s="493"/>
      <c r="V48" s="494"/>
    </row>
    <row r="49" spans="1:22" s="128" customFormat="1" x14ac:dyDescent="0.55000000000000004">
      <c r="A49" s="32"/>
      <c r="B49" s="169">
        <v>2</v>
      </c>
      <c r="C49" s="493"/>
      <c r="D49" s="493"/>
      <c r="E49" s="493"/>
      <c r="F49" s="493"/>
      <c r="G49" s="493"/>
      <c r="H49" s="493"/>
      <c r="I49" s="493"/>
      <c r="J49" s="493"/>
      <c r="K49" s="493"/>
      <c r="L49" s="170"/>
      <c r="M49" s="170">
        <v>7</v>
      </c>
      <c r="N49" s="493"/>
      <c r="O49" s="493"/>
      <c r="P49" s="493"/>
      <c r="Q49" s="493"/>
      <c r="R49" s="493"/>
      <c r="S49" s="493"/>
      <c r="T49" s="493"/>
      <c r="U49" s="493"/>
      <c r="V49" s="494"/>
    </row>
    <row r="50" spans="1:22" s="128" customFormat="1" x14ac:dyDescent="0.55000000000000004">
      <c r="A50" s="32"/>
      <c r="B50" s="169">
        <v>3</v>
      </c>
      <c r="C50" s="493"/>
      <c r="D50" s="493"/>
      <c r="E50" s="493"/>
      <c r="F50" s="493"/>
      <c r="G50" s="493"/>
      <c r="H50" s="493"/>
      <c r="I50" s="493"/>
      <c r="J50" s="493"/>
      <c r="K50" s="493"/>
      <c r="L50" s="170"/>
      <c r="M50" s="170">
        <v>8</v>
      </c>
      <c r="N50" s="493"/>
      <c r="O50" s="493"/>
      <c r="P50" s="493"/>
      <c r="Q50" s="493"/>
      <c r="R50" s="493"/>
      <c r="S50" s="493"/>
      <c r="T50" s="493"/>
      <c r="U50" s="493"/>
      <c r="V50" s="494"/>
    </row>
    <row r="51" spans="1:22" s="128" customFormat="1" x14ac:dyDescent="0.55000000000000004">
      <c r="A51" s="32"/>
      <c r="B51" s="169">
        <v>4</v>
      </c>
      <c r="C51" s="493"/>
      <c r="D51" s="493"/>
      <c r="E51" s="493"/>
      <c r="F51" s="493"/>
      <c r="G51" s="493"/>
      <c r="H51" s="493"/>
      <c r="I51" s="493"/>
      <c r="J51" s="493"/>
      <c r="K51" s="493"/>
      <c r="L51" s="170"/>
      <c r="M51" s="170">
        <v>9</v>
      </c>
      <c r="N51" s="493"/>
      <c r="O51" s="493"/>
      <c r="P51" s="493"/>
      <c r="Q51" s="493"/>
      <c r="R51" s="493"/>
      <c r="S51" s="493"/>
      <c r="T51" s="493"/>
      <c r="U51" s="493"/>
      <c r="V51" s="494"/>
    </row>
    <row r="52" spans="1:22" s="128" customFormat="1" x14ac:dyDescent="0.55000000000000004">
      <c r="A52" s="32"/>
      <c r="B52" s="169">
        <v>5</v>
      </c>
      <c r="C52" s="493"/>
      <c r="D52" s="493"/>
      <c r="E52" s="493"/>
      <c r="F52" s="493"/>
      <c r="G52" s="493"/>
      <c r="H52" s="493"/>
      <c r="I52" s="493"/>
      <c r="J52" s="493"/>
      <c r="K52" s="493"/>
      <c r="L52" s="170"/>
      <c r="M52" s="170">
        <v>10</v>
      </c>
      <c r="N52" s="493"/>
      <c r="O52" s="493"/>
      <c r="P52" s="493"/>
      <c r="Q52" s="493"/>
      <c r="R52" s="493"/>
      <c r="S52" s="493"/>
      <c r="T52" s="493"/>
      <c r="U52" s="493"/>
      <c r="V52" s="494"/>
    </row>
    <row r="53" spans="1:22" ht="44.25" customHeight="1" x14ac:dyDescent="0.55000000000000004">
      <c r="A53" s="17"/>
      <c r="B53" s="524" t="str">
        <f>"ค่าร้อยละของอาจารย์ประจำที่ดำรงตำแหน่งทางวิชาการ เท่ากับ  "&amp;K57&amp;" คะแนนที่ได้ = "&amp;K60&amp;" คะแนน โดยแสดงวิธีการคำนวณ ดังนี้"</f>
        <v>ค่าร้อยละของอาจารย์ประจำที่ดำรงตำแหน่งทางวิชาการ เท่ากับ  50 คะแนนที่ได้ = 4.17 คะแนน โดยแสดงวิธีการคำนวณ ดังนี้</v>
      </c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6"/>
    </row>
    <row r="54" spans="1:22" x14ac:dyDescent="0.55000000000000004">
      <c r="A54" s="17"/>
      <c r="B54" s="18"/>
      <c r="C54" s="24"/>
      <c r="D54" s="24"/>
      <c r="E54" s="24"/>
      <c r="F54" s="24"/>
      <c r="G54" s="2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5"/>
    </row>
    <row r="55" spans="1:22" x14ac:dyDescent="0.55000000000000004">
      <c r="A55" s="17"/>
      <c r="B55" s="13" t="s">
        <v>33</v>
      </c>
      <c r="C55" s="24"/>
      <c r="D55" s="24"/>
      <c r="E55" s="24"/>
      <c r="F55" s="24"/>
      <c r="G55" s="2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5"/>
    </row>
    <row r="56" spans="1:22" x14ac:dyDescent="0.55000000000000004">
      <c r="A56" s="17"/>
      <c r="B56" s="25" t="s">
        <v>63</v>
      </c>
      <c r="C56" s="24"/>
      <c r="D56" s="24"/>
      <c r="E56" s="24"/>
      <c r="F56" s="24"/>
      <c r="G56" s="2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5"/>
    </row>
    <row r="57" spans="1:22" x14ac:dyDescent="0.55000000000000004">
      <c r="A57" s="17"/>
      <c r="B57" s="18"/>
      <c r="C57" s="14"/>
      <c r="D57" s="14"/>
      <c r="E57" s="14"/>
      <c r="F57" s="24"/>
      <c r="G57" s="511">
        <f>COUNTA(ข้อมูลพื้นฐาน!B13:B32)</f>
        <v>1</v>
      </c>
      <c r="H57" s="511"/>
      <c r="I57" s="497" t="s">
        <v>35</v>
      </c>
      <c r="J57" s="497"/>
      <c r="K57" s="495">
        <f>ROUND(G57/G58*100,2)</f>
        <v>50</v>
      </c>
      <c r="L57" s="495"/>
      <c r="M57" s="495"/>
      <c r="N57" s="14"/>
      <c r="O57" s="14"/>
      <c r="P57" s="14"/>
      <c r="Q57" s="14"/>
      <c r="R57" s="14"/>
      <c r="S57" s="14"/>
      <c r="T57" s="14"/>
      <c r="U57" s="14"/>
      <c r="V57" s="15"/>
    </row>
    <row r="58" spans="1:22" x14ac:dyDescent="0.55000000000000004">
      <c r="A58" s="17"/>
      <c r="B58" s="18"/>
      <c r="C58" s="14"/>
      <c r="D58" s="26"/>
      <c r="E58" s="26"/>
      <c r="F58" s="24"/>
      <c r="G58" s="497">
        <f>ข้อมูลพื้นฐาน!D11</f>
        <v>2</v>
      </c>
      <c r="H58" s="497"/>
      <c r="I58" s="497"/>
      <c r="J58" s="497"/>
      <c r="K58" s="495"/>
      <c r="L58" s="495"/>
      <c r="M58" s="495"/>
      <c r="N58" s="14"/>
      <c r="O58" s="14"/>
      <c r="P58" s="14"/>
      <c r="Q58" s="14"/>
      <c r="R58" s="14"/>
      <c r="S58" s="14"/>
      <c r="T58" s="14"/>
      <c r="U58" s="14"/>
      <c r="V58" s="15"/>
    </row>
    <row r="59" spans="1:22" x14ac:dyDescent="0.55000000000000004">
      <c r="A59" s="17"/>
      <c r="B59" s="25" t="s">
        <v>55</v>
      </c>
      <c r="C59" s="24"/>
      <c r="D59" s="24"/>
      <c r="E59" s="24"/>
      <c r="F59" s="24"/>
      <c r="G59" s="2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5"/>
    </row>
    <row r="60" spans="1:22" x14ac:dyDescent="0.55000000000000004">
      <c r="A60" s="17"/>
      <c r="B60" s="18"/>
      <c r="C60" s="14"/>
      <c r="D60" s="14"/>
      <c r="E60" s="14"/>
      <c r="F60" s="24"/>
      <c r="G60" s="511">
        <f>K57</f>
        <v>50</v>
      </c>
      <c r="H60" s="511"/>
      <c r="I60" s="497" t="s">
        <v>56</v>
      </c>
      <c r="J60" s="497"/>
      <c r="K60" s="496">
        <f>IF(G60/G61*5&gt;5,5,ROUND(G60/G61*5,2))</f>
        <v>4.17</v>
      </c>
      <c r="L60" s="496"/>
      <c r="M60" s="496"/>
      <c r="N60" s="14"/>
      <c r="O60" s="14"/>
      <c r="P60" s="14"/>
      <c r="Q60" s="14"/>
      <c r="R60" s="14"/>
      <c r="S60" s="14"/>
      <c r="T60" s="14"/>
      <c r="U60" s="14"/>
      <c r="V60" s="15"/>
    </row>
    <row r="61" spans="1:22" x14ac:dyDescent="0.55000000000000004">
      <c r="A61" s="17"/>
      <c r="B61" s="18"/>
      <c r="C61" s="14"/>
      <c r="D61" s="26"/>
      <c r="E61" s="26"/>
      <c r="F61" s="24"/>
      <c r="G61" s="512">
        <f>IF(OR(เกณฑ์=1,เกณฑ์=2),60,IF(OR(เกณฑ์=3,เกณฑ์=4),80,IF(OR(เกณฑ์=5,เกณฑ์=6),100,"กรุณาเลือกระดับ")))</f>
        <v>60</v>
      </c>
      <c r="H61" s="512"/>
      <c r="I61" s="497"/>
      <c r="J61" s="497"/>
      <c r="K61" s="496"/>
      <c r="L61" s="496"/>
      <c r="M61" s="496"/>
      <c r="N61" s="14"/>
      <c r="O61" s="14"/>
      <c r="P61" s="14"/>
      <c r="Q61" s="14"/>
      <c r="R61" s="14"/>
      <c r="S61" s="14"/>
      <c r="T61" s="14"/>
      <c r="U61" s="14"/>
      <c r="V61" s="15"/>
    </row>
    <row r="62" spans="1:22" x14ac:dyDescent="0.55000000000000004">
      <c r="A62" s="17"/>
      <c r="B62" s="13" t="s">
        <v>47</v>
      </c>
      <c r="C62" s="24"/>
      <c r="D62" s="24"/>
      <c r="E62" s="24"/>
      <c r="F62" s="24"/>
      <c r="G62" s="2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5"/>
    </row>
    <row r="63" spans="1:22" x14ac:dyDescent="0.55000000000000004">
      <c r="A63" s="17"/>
      <c r="B63" s="18"/>
      <c r="C63" s="535" t="s">
        <v>47</v>
      </c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6" t="s">
        <v>50</v>
      </c>
      <c r="P63" s="536"/>
      <c r="Q63" s="14"/>
      <c r="R63" s="14"/>
      <c r="S63" s="14"/>
      <c r="T63" s="14"/>
      <c r="U63" s="14"/>
      <c r="V63" s="15"/>
    </row>
    <row r="64" spans="1:22" ht="21" customHeight="1" x14ac:dyDescent="0.55000000000000004">
      <c r="A64" s="17"/>
      <c r="B64" s="18"/>
      <c r="C64" s="534" t="s">
        <v>48</v>
      </c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3" t="str">
        <f>G58&amp;" คน"</f>
        <v>2 คน</v>
      </c>
      <c r="P64" s="533"/>
      <c r="Q64" s="14"/>
      <c r="R64" s="14"/>
      <c r="S64" s="14"/>
      <c r="T64" s="14"/>
      <c r="U64" s="14"/>
      <c r="V64" s="15"/>
    </row>
    <row r="65" spans="1:22" ht="21" customHeight="1" x14ac:dyDescent="0.55000000000000004">
      <c r="A65" s="17"/>
      <c r="B65" s="18"/>
      <c r="C65" s="534" t="s">
        <v>54</v>
      </c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3" t="str">
        <f>G57&amp;" คน"</f>
        <v>1 คน</v>
      </c>
      <c r="P65" s="533"/>
      <c r="Q65" s="14"/>
      <c r="R65" s="14"/>
      <c r="S65" s="14"/>
      <c r="T65" s="14"/>
      <c r="U65" s="14"/>
      <c r="V65" s="15"/>
    </row>
    <row r="66" spans="1:22" ht="21" customHeight="1" x14ac:dyDescent="0.55000000000000004">
      <c r="A66" s="17"/>
      <c r="B66" s="18"/>
      <c r="C66" s="534" t="s">
        <v>60</v>
      </c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3" t="str">
        <f>ข้อมูลพื้นฐาน!D11-COUNTA(ข้อมูลพื้นฐาน!B13:B32)&amp;" คน"</f>
        <v>1 คน</v>
      </c>
      <c r="P66" s="533"/>
      <c r="Q66" s="14"/>
      <c r="R66" s="14"/>
      <c r="S66" s="14"/>
      <c r="T66" s="14"/>
      <c r="U66" s="14"/>
      <c r="V66" s="15"/>
    </row>
    <row r="67" spans="1:22" ht="21" customHeight="1" x14ac:dyDescent="0.55000000000000004">
      <c r="A67" s="17"/>
      <c r="B67" s="18"/>
      <c r="C67" s="534" t="s">
        <v>61</v>
      </c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3" t="str">
        <f>COUNTIF(ข้อมูลพื้นฐาน!B13:B32,"ผศ.")&amp;" คน"</f>
        <v>1 คน</v>
      </c>
      <c r="P67" s="533"/>
      <c r="Q67" s="14"/>
      <c r="R67" s="14"/>
      <c r="S67" s="14"/>
      <c r="T67" s="14"/>
      <c r="U67" s="14"/>
      <c r="V67" s="15"/>
    </row>
    <row r="68" spans="1:22" ht="21" customHeight="1" x14ac:dyDescent="0.55000000000000004">
      <c r="A68" s="17"/>
      <c r="B68" s="18"/>
      <c r="C68" s="534" t="s">
        <v>62</v>
      </c>
      <c r="D68" s="534"/>
      <c r="E68" s="534"/>
      <c r="F68" s="534"/>
      <c r="G68" s="534"/>
      <c r="H68" s="534"/>
      <c r="I68" s="534"/>
      <c r="J68" s="534"/>
      <c r="K68" s="534"/>
      <c r="L68" s="534"/>
      <c r="M68" s="534"/>
      <c r="N68" s="534"/>
      <c r="O68" s="533" t="str">
        <f>COUNTIF(ข้อมูลพื้นฐาน!B13:B32,"รศ.")&amp;" คน"</f>
        <v>0 คน</v>
      </c>
      <c r="P68" s="533"/>
      <c r="Q68" s="14"/>
      <c r="R68" s="14"/>
      <c r="S68" s="14"/>
      <c r="T68" s="14"/>
      <c r="U68" s="14"/>
      <c r="V68" s="15"/>
    </row>
    <row r="69" spans="1:22" ht="21" customHeight="1" x14ac:dyDescent="0.55000000000000004">
      <c r="A69" s="17"/>
      <c r="B69" s="18"/>
      <c r="C69" s="534" t="s">
        <v>59</v>
      </c>
      <c r="D69" s="534"/>
      <c r="E69" s="534"/>
      <c r="F69" s="534"/>
      <c r="G69" s="534"/>
      <c r="H69" s="534"/>
      <c r="I69" s="534"/>
      <c r="J69" s="534"/>
      <c r="K69" s="534"/>
      <c r="L69" s="534"/>
      <c r="M69" s="534"/>
      <c r="N69" s="534"/>
      <c r="O69" s="533" t="str">
        <f>COUNTIF(ข้อมูลพื้นฐาน!B13:B32,"ศ.")&amp;" คน"</f>
        <v>0 คน</v>
      </c>
      <c r="P69" s="533"/>
      <c r="Q69" s="14"/>
      <c r="R69" s="14"/>
      <c r="S69" s="14"/>
      <c r="T69" s="14"/>
      <c r="U69" s="14"/>
      <c r="V69" s="15"/>
    </row>
    <row r="70" spans="1:22" x14ac:dyDescent="0.55000000000000004">
      <c r="A70" s="17"/>
      <c r="B70" s="13" t="s">
        <v>73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5"/>
    </row>
    <row r="71" spans="1:22" s="128" customFormat="1" x14ac:dyDescent="0.55000000000000004">
      <c r="A71" s="32"/>
      <c r="B71" s="470"/>
      <c r="C71" s="469"/>
      <c r="D71" s="469"/>
      <c r="E71" s="469"/>
      <c r="F71" s="469"/>
      <c r="G71" s="469"/>
      <c r="H71" s="469"/>
      <c r="I71" s="469"/>
      <c r="J71" s="469"/>
      <c r="K71" s="469"/>
      <c r="L71" s="469"/>
      <c r="M71" s="469"/>
      <c r="N71" s="469"/>
      <c r="O71" s="469"/>
      <c r="P71" s="469"/>
      <c r="Q71" s="469"/>
      <c r="R71" s="469"/>
      <c r="S71" s="469"/>
      <c r="T71" s="469"/>
      <c r="U71" s="469"/>
      <c r="V71" s="471"/>
    </row>
    <row r="72" spans="1:22" s="128" customFormat="1" x14ac:dyDescent="0.55000000000000004">
      <c r="A72" s="32"/>
      <c r="B72" s="470"/>
      <c r="C72" s="469"/>
      <c r="D72" s="469"/>
      <c r="E72" s="469"/>
      <c r="F72" s="469"/>
      <c r="G72" s="469"/>
      <c r="H72" s="469"/>
      <c r="I72" s="469"/>
      <c r="J72" s="469"/>
      <c r="K72" s="469"/>
      <c r="L72" s="469"/>
      <c r="M72" s="469"/>
      <c r="N72" s="469"/>
      <c r="O72" s="469"/>
      <c r="P72" s="469"/>
      <c r="Q72" s="469"/>
      <c r="R72" s="469"/>
      <c r="S72" s="469"/>
      <c r="T72" s="469"/>
      <c r="U72" s="469"/>
      <c r="V72" s="471"/>
    </row>
    <row r="73" spans="1:22" s="128" customFormat="1" x14ac:dyDescent="0.55000000000000004">
      <c r="A73" s="32"/>
      <c r="B73" s="470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71"/>
    </row>
    <row r="74" spans="1:22" s="128" customFormat="1" x14ac:dyDescent="0.55000000000000004">
      <c r="A74" s="32"/>
      <c r="B74" s="470"/>
      <c r="C74" s="469"/>
      <c r="D74" s="469"/>
      <c r="E74" s="469"/>
      <c r="F74" s="46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469"/>
      <c r="U74" s="469"/>
      <c r="V74" s="471"/>
    </row>
    <row r="75" spans="1:22" x14ac:dyDescent="0.55000000000000004">
      <c r="A75" s="17"/>
      <c r="B75" s="13" t="s">
        <v>125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5"/>
    </row>
    <row r="76" spans="1:22" s="128" customFormat="1" x14ac:dyDescent="0.55000000000000004">
      <c r="A76" s="32"/>
      <c r="B76" s="470"/>
      <c r="C76" s="469"/>
      <c r="D76" s="469"/>
      <c r="E76" s="469"/>
      <c r="F76" s="469"/>
      <c r="G76" s="469"/>
      <c r="H76" s="469"/>
      <c r="I76" s="469"/>
      <c r="J76" s="469"/>
      <c r="K76" s="469"/>
      <c r="L76" s="469"/>
      <c r="M76" s="469"/>
      <c r="N76" s="469"/>
      <c r="O76" s="469"/>
      <c r="P76" s="469"/>
      <c r="Q76" s="469"/>
      <c r="R76" s="469"/>
      <c r="S76" s="469"/>
      <c r="T76" s="469"/>
      <c r="U76" s="469"/>
      <c r="V76" s="471"/>
    </row>
    <row r="77" spans="1:22" s="128" customFormat="1" x14ac:dyDescent="0.55000000000000004">
      <c r="A77" s="32"/>
      <c r="B77" s="470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71"/>
    </row>
    <row r="78" spans="1:22" s="128" customFormat="1" x14ac:dyDescent="0.55000000000000004">
      <c r="A78" s="34"/>
      <c r="B78" s="530"/>
      <c r="C78" s="531"/>
      <c r="D78" s="531"/>
      <c r="E78" s="531"/>
      <c r="F78" s="531"/>
      <c r="G78" s="531"/>
      <c r="H78" s="531"/>
      <c r="I78" s="531"/>
      <c r="J78" s="531"/>
      <c r="K78" s="531"/>
      <c r="L78" s="531"/>
      <c r="M78" s="531"/>
      <c r="N78" s="531"/>
      <c r="O78" s="531"/>
      <c r="P78" s="531"/>
      <c r="Q78" s="531"/>
      <c r="R78" s="531"/>
      <c r="S78" s="531"/>
      <c r="T78" s="531"/>
      <c r="U78" s="531"/>
      <c r="V78" s="532"/>
    </row>
    <row r="79" spans="1:22" x14ac:dyDescent="0.55000000000000004">
      <c r="A79" s="35" t="s">
        <v>11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ht="62.25" customHeight="1" x14ac:dyDescent="0.55000000000000004">
      <c r="A80" s="476" t="s">
        <v>12</v>
      </c>
      <c r="B80" s="476"/>
      <c r="C80" s="476"/>
      <c r="D80" s="476"/>
      <c r="E80" s="476"/>
      <c r="F80" s="476"/>
      <c r="G80" s="476"/>
      <c r="H80" s="476"/>
      <c r="I80" s="476"/>
      <c r="J80" s="476"/>
      <c r="K80" s="476" t="s">
        <v>13</v>
      </c>
      <c r="L80" s="476"/>
      <c r="M80" s="476"/>
      <c r="N80" s="476" t="s">
        <v>14</v>
      </c>
      <c r="O80" s="476"/>
      <c r="P80" s="476"/>
      <c r="Q80" s="476" t="s">
        <v>15</v>
      </c>
      <c r="R80" s="476"/>
      <c r="S80" s="476"/>
      <c r="T80" s="476" t="s">
        <v>16</v>
      </c>
      <c r="U80" s="476"/>
      <c r="V80" s="476"/>
    </row>
    <row r="81" spans="1:22" ht="47.25" customHeight="1" x14ac:dyDescent="0.55000000000000004">
      <c r="A81" s="477" t="s">
        <v>53</v>
      </c>
      <c r="B81" s="477"/>
      <c r="C81" s="477"/>
      <c r="D81" s="477"/>
      <c r="E81" s="477"/>
      <c r="F81" s="477"/>
      <c r="G81" s="477"/>
      <c r="H81" s="477"/>
      <c r="I81" s="477"/>
      <c r="J81" s="477"/>
      <c r="K81" s="520">
        <v>20</v>
      </c>
      <c r="L81" s="520"/>
      <c r="M81" s="520"/>
      <c r="N81" s="529">
        <f>K57</f>
        <v>50</v>
      </c>
      <c r="O81" s="529"/>
      <c r="P81" s="529"/>
      <c r="Q81" s="528">
        <f>K60</f>
        <v>4.17</v>
      </c>
      <c r="R81" s="528"/>
      <c r="S81" s="528"/>
      <c r="T81" s="527" t="str">
        <f>IF(G57/G58*100&gt;=K81,"บรรลุ","ไม่บรรลุ")</f>
        <v>บรรลุ</v>
      </c>
      <c r="U81" s="527"/>
      <c r="V81" s="527"/>
    </row>
    <row r="82" spans="1:22" x14ac:dyDescent="0.5500000000000000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21" customHeight="1" x14ac:dyDescent="0.55000000000000004">
      <c r="A83" s="89" t="s">
        <v>12</v>
      </c>
      <c r="B83" s="521" t="s">
        <v>23</v>
      </c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3"/>
    </row>
    <row r="84" spans="1:22" x14ac:dyDescent="0.55000000000000004">
      <c r="A84" s="12">
        <v>4.2</v>
      </c>
      <c r="B84" s="13" t="s">
        <v>30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5"/>
    </row>
    <row r="85" spans="1:22" x14ac:dyDescent="0.55000000000000004">
      <c r="A85" s="17"/>
      <c r="B85" s="13" t="s">
        <v>64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5"/>
    </row>
    <row r="86" spans="1:22" x14ac:dyDescent="0.55000000000000004">
      <c r="A86" s="17"/>
      <c r="B86" s="13" t="s">
        <v>28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5"/>
    </row>
    <row r="87" spans="1:22" ht="42.75" customHeight="1" x14ac:dyDescent="0.55000000000000004">
      <c r="A87" s="17"/>
      <c r="B87" s="524" t="str">
        <f>"ผลงานวิชาการของอาจารย์ประจำหลักสูตร ทั้งหมด จำนวน "&amp;K115&amp;"  เรื่อง ค่าร้อยละของผลรวมถ่วงน้ำหนักของผลงานทางวิชาการของอาจารย์ประจำหลักสูตร เท่ากับ "&amp;K90&amp;"  คะแนนที่ได้เท่ากับ "&amp;K93&amp;" โดยแสดงวิธีการคำนวณ ดังนี้"</f>
        <v>ผลงานวิชาการของอาจารย์ประจำหลักสูตร ทั้งหมด จำนวน 0  เรื่อง ค่าร้อยละของผลรวมถ่วงน้ำหนักของผลงานทางวิชาการของอาจารย์ประจำหลักสูตร เท่ากับ 0  คะแนนที่ได้เท่ากับ 0 โดยแสดงวิธีการคำนวณ ดังนี้</v>
      </c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6"/>
    </row>
    <row r="88" spans="1:22" x14ac:dyDescent="0.55000000000000004">
      <c r="A88" s="17"/>
      <c r="B88" s="13" t="s">
        <v>33</v>
      </c>
      <c r="C88" s="24"/>
      <c r="D88" s="24"/>
      <c r="E88" s="24"/>
      <c r="F88" s="24"/>
      <c r="G88" s="2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5"/>
    </row>
    <row r="89" spans="1:22" x14ac:dyDescent="0.55000000000000004">
      <c r="A89" s="17"/>
      <c r="B89" s="25" t="s">
        <v>65</v>
      </c>
      <c r="C89" s="24"/>
      <c r="D89" s="24"/>
      <c r="E89" s="24"/>
      <c r="F89" s="24"/>
      <c r="G89" s="2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5"/>
    </row>
    <row r="90" spans="1:22" x14ac:dyDescent="0.55000000000000004">
      <c r="A90" s="17"/>
      <c r="B90" s="18"/>
      <c r="C90" s="14"/>
      <c r="D90" s="14"/>
      <c r="E90" s="14"/>
      <c r="F90" s="24"/>
      <c r="G90" s="511">
        <f>U114</f>
        <v>0</v>
      </c>
      <c r="H90" s="511"/>
      <c r="I90" s="497" t="s">
        <v>35</v>
      </c>
      <c r="J90" s="497"/>
      <c r="K90" s="495">
        <f>ROUND(G90/G91*100,2)</f>
        <v>0</v>
      </c>
      <c r="L90" s="495"/>
      <c r="M90" s="495"/>
      <c r="N90" s="14"/>
      <c r="O90" s="14"/>
      <c r="P90" s="14"/>
      <c r="Q90" s="14"/>
      <c r="R90" s="14"/>
      <c r="S90" s="14"/>
      <c r="T90" s="14"/>
      <c r="U90" s="14"/>
      <c r="V90" s="15"/>
    </row>
    <row r="91" spans="1:22" x14ac:dyDescent="0.55000000000000004">
      <c r="A91" s="17"/>
      <c r="B91" s="18"/>
      <c r="C91" s="14"/>
      <c r="D91" s="26"/>
      <c r="E91" s="26"/>
      <c r="F91" s="24"/>
      <c r="G91" s="497">
        <f>ข้อมูลพื้นฐาน!D11</f>
        <v>2</v>
      </c>
      <c r="H91" s="497"/>
      <c r="I91" s="497"/>
      <c r="J91" s="497"/>
      <c r="K91" s="495"/>
      <c r="L91" s="495"/>
      <c r="M91" s="495"/>
      <c r="N91" s="14"/>
      <c r="O91" s="14"/>
      <c r="P91" s="14"/>
      <c r="Q91" s="14"/>
      <c r="R91" s="14"/>
      <c r="S91" s="14"/>
      <c r="T91" s="14"/>
      <c r="U91" s="14"/>
      <c r="V91" s="15"/>
    </row>
    <row r="92" spans="1:22" x14ac:dyDescent="0.55000000000000004">
      <c r="A92" s="17"/>
      <c r="B92" s="25" t="s">
        <v>55</v>
      </c>
      <c r="C92" s="24"/>
      <c r="D92" s="24"/>
      <c r="E92" s="24"/>
      <c r="F92" s="24"/>
      <c r="G92" s="2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5"/>
    </row>
    <row r="93" spans="1:22" x14ac:dyDescent="0.55000000000000004">
      <c r="A93" s="17"/>
      <c r="B93" s="18"/>
      <c r="C93" s="14"/>
      <c r="D93" s="14"/>
      <c r="E93" s="14"/>
      <c r="F93" s="24"/>
      <c r="G93" s="511">
        <f>K90</f>
        <v>0</v>
      </c>
      <c r="H93" s="511"/>
      <c r="I93" s="497" t="s">
        <v>56</v>
      </c>
      <c r="J93" s="497"/>
      <c r="K93" s="496">
        <f>IF((G93/G94)*5&gt;5,5,ROUND((G93/G94)*5,2))</f>
        <v>0</v>
      </c>
      <c r="L93" s="496"/>
      <c r="M93" s="496"/>
      <c r="N93" s="14"/>
      <c r="O93" s="14"/>
      <c r="P93" s="14"/>
      <c r="Q93" s="14"/>
      <c r="R93" s="14"/>
      <c r="S93" s="14"/>
      <c r="T93" s="14"/>
      <c r="U93" s="14"/>
      <c r="V93" s="15"/>
    </row>
    <row r="94" spans="1:22" x14ac:dyDescent="0.55000000000000004">
      <c r="A94" s="17"/>
      <c r="B94" s="18"/>
      <c r="C94" s="14"/>
      <c r="D94" s="26"/>
      <c r="E94" s="26"/>
      <c r="F94" s="24"/>
      <c r="G94" s="512">
        <f>IF(OR(เกณฑ์=1,เกณฑ์=2),20,IF(OR(เกณฑ์=3,เกณฑ์=4),40,IF(OR(เกณฑ์=5,เกณฑ์=6),60,"กรุณาเลือกระดับ")))</f>
        <v>20</v>
      </c>
      <c r="H94" s="512"/>
      <c r="I94" s="497"/>
      <c r="J94" s="497"/>
      <c r="K94" s="496"/>
      <c r="L94" s="496"/>
      <c r="M94" s="496"/>
      <c r="N94" s="14"/>
      <c r="O94" s="14"/>
      <c r="P94" s="14"/>
      <c r="Q94" s="14"/>
      <c r="R94" s="14"/>
      <c r="S94" s="14"/>
      <c r="T94" s="14"/>
      <c r="U94" s="14"/>
      <c r="V94" s="15"/>
    </row>
    <row r="95" spans="1:22" ht="24.75" thickBot="1" x14ac:dyDescent="0.6">
      <c r="A95" s="17"/>
      <c r="B95" s="13" t="s">
        <v>47</v>
      </c>
      <c r="C95" s="24"/>
      <c r="D95" s="24"/>
      <c r="E95" s="24"/>
      <c r="F95" s="24"/>
      <c r="G95" s="2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5"/>
    </row>
    <row r="96" spans="1:22" ht="24.75" thickBot="1" x14ac:dyDescent="0.6">
      <c r="A96" s="17"/>
      <c r="B96" s="18"/>
      <c r="C96" s="487" t="s">
        <v>66</v>
      </c>
      <c r="D96" s="518"/>
      <c r="E96" s="518"/>
      <c r="F96" s="518"/>
      <c r="G96" s="518"/>
      <c r="H96" s="518"/>
      <c r="I96" s="518"/>
      <c r="J96" s="488"/>
      <c r="K96" s="515" t="s">
        <v>67</v>
      </c>
      <c r="L96" s="516"/>
      <c r="M96" s="516"/>
      <c r="N96" s="516"/>
      <c r="O96" s="516"/>
      <c r="P96" s="516"/>
      <c r="Q96" s="516"/>
      <c r="R96" s="516"/>
      <c r="S96" s="516"/>
      <c r="T96" s="517"/>
      <c r="U96" s="487" t="s">
        <v>68</v>
      </c>
      <c r="V96" s="488"/>
    </row>
    <row r="97" spans="1:24" ht="21" customHeight="1" x14ac:dyDescent="0.55000000000000004">
      <c r="A97" s="17"/>
      <c r="B97" s="18"/>
      <c r="C97" s="489"/>
      <c r="D97" s="472"/>
      <c r="E97" s="472"/>
      <c r="F97" s="472"/>
      <c r="G97" s="472"/>
      <c r="H97" s="472"/>
      <c r="I97" s="472"/>
      <c r="J97" s="490"/>
      <c r="K97" s="483" t="s">
        <v>69</v>
      </c>
      <c r="L97" s="484"/>
      <c r="M97" s="484"/>
      <c r="N97" s="484"/>
      <c r="O97" s="485"/>
      <c r="P97" s="486" t="s">
        <v>70</v>
      </c>
      <c r="Q97" s="484"/>
      <c r="R97" s="484"/>
      <c r="S97" s="484"/>
      <c r="T97" s="485"/>
      <c r="U97" s="489"/>
      <c r="V97" s="490"/>
    </row>
    <row r="98" spans="1:24" ht="21" customHeight="1" thickBot="1" x14ac:dyDescent="0.6">
      <c r="A98" s="17"/>
      <c r="B98" s="18"/>
      <c r="C98" s="491"/>
      <c r="D98" s="519"/>
      <c r="E98" s="519"/>
      <c r="F98" s="519"/>
      <c r="G98" s="519"/>
      <c r="H98" s="519"/>
      <c r="I98" s="519"/>
      <c r="J98" s="492"/>
      <c r="K98" s="156">
        <v>0.2</v>
      </c>
      <c r="L98" s="157">
        <v>0.4</v>
      </c>
      <c r="M98" s="157">
        <v>0.6</v>
      </c>
      <c r="N98" s="157">
        <v>0.8</v>
      </c>
      <c r="O98" s="158">
        <v>1</v>
      </c>
      <c r="P98" s="159">
        <v>0.2</v>
      </c>
      <c r="Q98" s="157">
        <v>0.4</v>
      </c>
      <c r="R98" s="157">
        <v>0.6</v>
      </c>
      <c r="S98" s="157">
        <v>0.8</v>
      </c>
      <c r="T98" s="158">
        <v>1</v>
      </c>
      <c r="U98" s="491"/>
      <c r="V98" s="492"/>
    </row>
    <row r="99" spans="1:24" ht="21" customHeight="1" x14ac:dyDescent="0.55000000000000004">
      <c r="A99" s="17"/>
      <c r="B99" s="18"/>
      <c r="C99" s="480" t="s">
        <v>75</v>
      </c>
      <c r="D99" s="481"/>
      <c r="E99" s="481"/>
      <c r="F99" s="481"/>
      <c r="G99" s="481"/>
      <c r="H99" s="481"/>
      <c r="I99" s="481"/>
      <c r="J99" s="482"/>
      <c r="K99" s="393"/>
      <c r="L99" s="394"/>
      <c r="M99" s="394"/>
      <c r="N99" s="394"/>
      <c r="O99" s="395"/>
      <c r="P99" s="396"/>
      <c r="Q99" s="394"/>
      <c r="R99" s="394"/>
      <c r="S99" s="394"/>
      <c r="T99" s="395"/>
      <c r="U99" s="509">
        <f t="shared" ref="U99:U113" si="0">K99*$K$98+L99*$L$98+M99*$M$98+N99*$N$98+O99*$O$98+P99*$P$98+Q99*$Q$98+R99*$R$98+S99*$S$98+T99*$T$98</f>
        <v>0</v>
      </c>
      <c r="V99" s="510"/>
    </row>
    <row r="100" spans="1:24" ht="21" customHeight="1" x14ac:dyDescent="0.55000000000000004">
      <c r="A100" s="17"/>
      <c r="B100" s="18"/>
      <c r="C100" s="480" t="s">
        <v>75</v>
      </c>
      <c r="D100" s="481"/>
      <c r="E100" s="481"/>
      <c r="F100" s="481"/>
      <c r="G100" s="481"/>
      <c r="H100" s="481"/>
      <c r="I100" s="481"/>
      <c r="J100" s="482"/>
      <c r="K100" s="397"/>
      <c r="L100" s="398"/>
      <c r="M100" s="398"/>
      <c r="N100" s="398"/>
      <c r="O100" s="399"/>
      <c r="P100" s="400"/>
      <c r="Q100" s="398"/>
      <c r="R100" s="398"/>
      <c r="S100" s="398"/>
      <c r="T100" s="399"/>
      <c r="U100" s="478">
        <f t="shared" si="0"/>
        <v>0</v>
      </c>
      <c r="V100" s="479"/>
    </row>
    <row r="101" spans="1:24" ht="21" customHeight="1" x14ac:dyDescent="0.55000000000000004">
      <c r="A101" s="17"/>
      <c r="B101" s="18"/>
      <c r="C101" s="480" t="s">
        <v>75</v>
      </c>
      <c r="D101" s="481"/>
      <c r="E101" s="481"/>
      <c r="F101" s="481"/>
      <c r="G101" s="481"/>
      <c r="H101" s="481"/>
      <c r="I101" s="481"/>
      <c r="J101" s="482"/>
      <c r="K101" s="397"/>
      <c r="L101" s="398"/>
      <c r="M101" s="398"/>
      <c r="N101" s="398"/>
      <c r="O101" s="399"/>
      <c r="P101" s="400"/>
      <c r="Q101" s="398"/>
      <c r="R101" s="398"/>
      <c r="S101" s="398"/>
      <c r="T101" s="399"/>
      <c r="U101" s="478">
        <f t="shared" si="0"/>
        <v>0</v>
      </c>
      <c r="V101" s="479"/>
    </row>
    <row r="102" spans="1:24" ht="21" customHeight="1" x14ac:dyDescent="0.55000000000000004">
      <c r="A102" s="17"/>
      <c r="B102" s="18"/>
      <c r="C102" s="480" t="s">
        <v>75</v>
      </c>
      <c r="D102" s="481"/>
      <c r="E102" s="481"/>
      <c r="F102" s="481"/>
      <c r="G102" s="481"/>
      <c r="H102" s="481"/>
      <c r="I102" s="481"/>
      <c r="J102" s="482"/>
      <c r="K102" s="397"/>
      <c r="L102" s="398"/>
      <c r="M102" s="398"/>
      <c r="N102" s="398"/>
      <c r="O102" s="399"/>
      <c r="P102" s="400"/>
      <c r="Q102" s="398"/>
      <c r="R102" s="398"/>
      <c r="S102" s="398"/>
      <c r="T102" s="399"/>
      <c r="U102" s="478">
        <f t="shared" si="0"/>
        <v>0</v>
      </c>
      <c r="V102" s="479"/>
    </row>
    <row r="103" spans="1:24" ht="21" customHeight="1" x14ac:dyDescent="0.55000000000000004">
      <c r="A103" s="17"/>
      <c r="B103" s="18"/>
      <c r="C103" s="480" t="s">
        <v>75</v>
      </c>
      <c r="D103" s="481"/>
      <c r="E103" s="481"/>
      <c r="F103" s="481"/>
      <c r="G103" s="481"/>
      <c r="H103" s="481"/>
      <c r="I103" s="481"/>
      <c r="J103" s="482"/>
      <c r="K103" s="397"/>
      <c r="L103" s="398"/>
      <c r="M103" s="398"/>
      <c r="N103" s="398"/>
      <c r="O103" s="399"/>
      <c r="P103" s="400"/>
      <c r="Q103" s="398"/>
      <c r="R103" s="398"/>
      <c r="S103" s="398"/>
      <c r="T103" s="399"/>
      <c r="U103" s="478">
        <f t="shared" si="0"/>
        <v>0</v>
      </c>
      <c r="V103" s="479"/>
    </row>
    <row r="104" spans="1:24" ht="21" customHeight="1" x14ac:dyDescent="0.55000000000000004">
      <c r="A104" s="17"/>
      <c r="B104" s="18"/>
      <c r="C104" s="480" t="s">
        <v>75</v>
      </c>
      <c r="D104" s="481"/>
      <c r="E104" s="481"/>
      <c r="F104" s="481"/>
      <c r="G104" s="481"/>
      <c r="H104" s="481"/>
      <c r="I104" s="481"/>
      <c r="J104" s="482"/>
      <c r="K104" s="397"/>
      <c r="L104" s="398"/>
      <c r="M104" s="398"/>
      <c r="N104" s="398"/>
      <c r="O104" s="399"/>
      <c r="P104" s="400"/>
      <c r="Q104" s="398"/>
      <c r="R104" s="398"/>
      <c r="S104" s="398"/>
      <c r="T104" s="399"/>
      <c r="U104" s="478">
        <f t="shared" si="0"/>
        <v>0</v>
      </c>
      <c r="V104" s="479"/>
    </row>
    <row r="105" spans="1:24" ht="21" customHeight="1" x14ac:dyDescent="0.55000000000000004">
      <c r="A105" s="17"/>
      <c r="B105" s="18"/>
      <c r="C105" s="480" t="s">
        <v>75</v>
      </c>
      <c r="D105" s="481"/>
      <c r="E105" s="481"/>
      <c r="F105" s="481"/>
      <c r="G105" s="481"/>
      <c r="H105" s="481"/>
      <c r="I105" s="481"/>
      <c r="J105" s="482"/>
      <c r="K105" s="397"/>
      <c r="L105" s="398"/>
      <c r="M105" s="398"/>
      <c r="N105" s="398"/>
      <c r="O105" s="399"/>
      <c r="P105" s="400"/>
      <c r="Q105" s="398"/>
      <c r="R105" s="398"/>
      <c r="S105" s="398"/>
      <c r="T105" s="399"/>
      <c r="U105" s="478">
        <f t="shared" si="0"/>
        <v>0</v>
      </c>
      <c r="V105" s="479"/>
    </row>
    <row r="106" spans="1:24" ht="21" customHeight="1" x14ac:dyDescent="0.55000000000000004">
      <c r="A106" s="17"/>
      <c r="B106" s="18"/>
      <c r="C106" s="480" t="s">
        <v>75</v>
      </c>
      <c r="D106" s="481"/>
      <c r="E106" s="481"/>
      <c r="F106" s="481"/>
      <c r="G106" s="481"/>
      <c r="H106" s="481"/>
      <c r="I106" s="481"/>
      <c r="J106" s="482"/>
      <c r="K106" s="397"/>
      <c r="L106" s="398"/>
      <c r="M106" s="398"/>
      <c r="N106" s="398"/>
      <c r="O106" s="399"/>
      <c r="P106" s="400"/>
      <c r="Q106" s="398"/>
      <c r="R106" s="398"/>
      <c r="S106" s="398"/>
      <c r="T106" s="399"/>
      <c r="U106" s="478">
        <f t="shared" si="0"/>
        <v>0</v>
      </c>
      <c r="V106" s="479"/>
    </row>
    <row r="107" spans="1:24" ht="21" customHeight="1" x14ac:dyDescent="0.55000000000000004">
      <c r="A107" s="17"/>
      <c r="B107" s="18"/>
      <c r="C107" s="480" t="s">
        <v>75</v>
      </c>
      <c r="D107" s="481"/>
      <c r="E107" s="481"/>
      <c r="F107" s="481"/>
      <c r="G107" s="481"/>
      <c r="H107" s="481"/>
      <c r="I107" s="481"/>
      <c r="J107" s="482"/>
      <c r="K107" s="397"/>
      <c r="L107" s="398"/>
      <c r="M107" s="398"/>
      <c r="N107" s="398"/>
      <c r="O107" s="399"/>
      <c r="P107" s="400"/>
      <c r="Q107" s="398"/>
      <c r="R107" s="398"/>
      <c r="S107" s="398"/>
      <c r="T107" s="399"/>
      <c r="U107" s="478">
        <f t="shared" si="0"/>
        <v>0</v>
      </c>
      <c r="V107" s="479"/>
    </row>
    <row r="108" spans="1:24" ht="21" customHeight="1" x14ac:dyDescent="0.55000000000000004">
      <c r="A108" s="17"/>
      <c r="B108" s="18"/>
      <c r="C108" s="480" t="s">
        <v>75</v>
      </c>
      <c r="D108" s="481"/>
      <c r="E108" s="481"/>
      <c r="F108" s="481"/>
      <c r="G108" s="481"/>
      <c r="H108" s="481"/>
      <c r="I108" s="481"/>
      <c r="J108" s="482"/>
      <c r="K108" s="397"/>
      <c r="L108" s="398"/>
      <c r="M108" s="398"/>
      <c r="N108" s="398"/>
      <c r="O108" s="399"/>
      <c r="P108" s="400"/>
      <c r="Q108" s="398"/>
      <c r="R108" s="398"/>
      <c r="S108" s="398"/>
      <c r="T108" s="399"/>
      <c r="U108" s="478">
        <f t="shared" si="0"/>
        <v>0</v>
      </c>
      <c r="V108" s="479"/>
    </row>
    <row r="109" spans="1:24" ht="21" customHeight="1" x14ac:dyDescent="0.55000000000000004">
      <c r="A109" s="17"/>
      <c r="B109" s="18"/>
      <c r="C109" s="480" t="s">
        <v>75</v>
      </c>
      <c r="D109" s="481"/>
      <c r="E109" s="481"/>
      <c r="F109" s="481"/>
      <c r="G109" s="481"/>
      <c r="H109" s="481"/>
      <c r="I109" s="481"/>
      <c r="J109" s="482"/>
      <c r="K109" s="397"/>
      <c r="L109" s="398"/>
      <c r="M109" s="398"/>
      <c r="N109" s="398"/>
      <c r="O109" s="399"/>
      <c r="P109" s="401"/>
      <c r="Q109" s="402"/>
      <c r="R109" s="402"/>
      <c r="S109" s="402"/>
      <c r="T109" s="403"/>
      <c r="U109" s="478">
        <f t="shared" si="0"/>
        <v>0</v>
      </c>
      <c r="V109" s="479"/>
      <c r="W109" s="421"/>
      <c r="X109" s="30"/>
    </row>
    <row r="110" spans="1:24" ht="21" customHeight="1" x14ac:dyDescent="0.55000000000000004">
      <c r="A110" s="17"/>
      <c r="B110" s="18"/>
      <c r="C110" s="480" t="s">
        <v>75</v>
      </c>
      <c r="D110" s="481"/>
      <c r="E110" s="481"/>
      <c r="F110" s="481"/>
      <c r="G110" s="481"/>
      <c r="H110" s="481"/>
      <c r="I110" s="481"/>
      <c r="J110" s="482"/>
      <c r="K110" s="397"/>
      <c r="L110" s="398"/>
      <c r="M110" s="398"/>
      <c r="N110" s="398"/>
      <c r="O110" s="399"/>
      <c r="P110" s="401"/>
      <c r="Q110" s="402"/>
      <c r="R110" s="402"/>
      <c r="S110" s="402"/>
      <c r="T110" s="403"/>
      <c r="U110" s="478">
        <f t="shared" si="0"/>
        <v>0</v>
      </c>
      <c r="V110" s="479"/>
    </row>
    <row r="111" spans="1:24" ht="21" customHeight="1" x14ac:dyDescent="0.55000000000000004">
      <c r="A111" s="17"/>
      <c r="B111" s="18"/>
      <c r="C111" s="480" t="s">
        <v>75</v>
      </c>
      <c r="D111" s="481"/>
      <c r="E111" s="481"/>
      <c r="F111" s="481"/>
      <c r="G111" s="481"/>
      <c r="H111" s="481"/>
      <c r="I111" s="481"/>
      <c r="J111" s="482"/>
      <c r="K111" s="397"/>
      <c r="L111" s="398"/>
      <c r="M111" s="398"/>
      <c r="N111" s="398"/>
      <c r="O111" s="399"/>
      <c r="P111" s="401"/>
      <c r="Q111" s="402"/>
      <c r="R111" s="402"/>
      <c r="S111" s="402"/>
      <c r="T111" s="403"/>
      <c r="U111" s="478">
        <f t="shared" si="0"/>
        <v>0</v>
      </c>
      <c r="V111" s="479"/>
    </row>
    <row r="112" spans="1:24" ht="21" customHeight="1" x14ac:dyDescent="0.55000000000000004">
      <c r="A112" s="17"/>
      <c r="B112" s="127"/>
      <c r="C112" s="480" t="s">
        <v>75</v>
      </c>
      <c r="D112" s="481"/>
      <c r="E112" s="481"/>
      <c r="F112" s="481"/>
      <c r="G112" s="481"/>
      <c r="H112" s="481"/>
      <c r="I112" s="481"/>
      <c r="J112" s="482"/>
      <c r="K112" s="404"/>
      <c r="L112" s="405"/>
      <c r="M112" s="405"/>
      <c r="N112" s="405"/>
      <c r="O112" s="406"/>
      <c r="P112" s="407"/>
      <c r="Q112" s="405"/>
      <c r="R112" s="405"/>
      <c r="S112" s="405"/>
      <c r="T112" s="406"/>
      <c r="U112" s="478">
        <f t="shared" si="0"/>
        <v>0</v>
      </c>
      <c r="V112" s="479"/>
    </row>
    <row r="113" spans="1:23" ht="24.75" thickBot="1" x14ac:dyDescent="0.6">
      <c r="A113" s="17"/>
      <c r="B113" s="27"/>
      <c r="C113" s="480" t="s">
        <v>75</v>
      </c>
      <c r="D113" s="481"/>
      <c r="E113" s="481"/>
      <c r="F113" s="481"/>
      <c r="G113" s="481"/>
      <c r="H113" s="481"/>
      <c r="I113" s="481"/>
      <c r="J113" s="482"/>
      <c r="K113" s="408"/>
      <c r="L113" s="409"/>
      <c r="M113" s="409"/>
      <c r="N113" s="409"/>
      <c r="O113" s="410"/>
      <c r="P113" s="411"/>
      <c r="Q113" s="409"/>
      <c r="R113" s="409"/>
      <c r="S113" s="409"/>
      <c r="T113" s="410"/>
      <c r="U113" s="513">
        <f t="shared" si="0"/>
        <v>0</v>
      </c>
      <c r="V113" s="514"/>
    </row>
    <row r="114" spans="1:23" ht="24.75" thickBot="1" x14ac:dyDescent="0.6">
      <c r="A114" s="17"/>
      <c r="B114" s="27"/>
      <c r="C114" s="501" t="s">
        <v>71</v>
      </c>
      <c r="D114" s="502"/>
      <c r="E114" s="502"/>
      <c r="F114" s="502"/>
      <c r="G114" s="502"/>
      <c r="H114" s="502"/>
      <c r="I114" s="502"/>
      <c r="J114" s="502"/>
      <c r="K114" s="412">
        <f>SUM(K99:K113)</f>
        <v>0</v>
      </c>
      <c r="L114" s="413">
        <f t="shared" ref="L114:T114" si="1">SUM(L99:L113)</f>
        <v>0</v>
      </c>
      <c r="M114" s="413">
        <f t="shared" si="1"/>
        <v>0</v>
      </c>
      <c r="N114" s="413">
        <f t="shared" si="1"/>
        <v>0</v>
      </c>
      <c r="O114" s="414">
        <f t="shared" si="1"/>
        <v>0</v>
      </c>
      <c r="P114" s="415">
        <f t="shared" si="1"/>
        <v>0</v>
      </c>
      <c r="Q114" s="413">
        <f t="shared" si="1"/>
        <v>0</v>
      </c>
      <c r="R114" s="413">
        <f t="shared" si="1"/>
        <v>0</v>
      </c>
      <c r="S114" s="413">
        <f t="shared" si="1"/>
        <v>0</v>
      </c>
      <c r="T114" s="414">
        <f t="shared" si="1"/>
        <v>0</v>
      </c>
      <c r="U114" s="505">
        <f>SUM(U99:V113)</f>
        <v>0</v>
      </c>
      <c r="V114" s="506"/>
    </row>
    <row r="115" spans="1:23" ht="24.75" thickBot="1" x14ac:dyDescent="0.6">
      <c r="A115" s="17"/>
      <c r="B115" s="27"/>
      <c r="C115" s="503"/>
      <c r="D115" s="504"/>
      <c r="E115" s="504"/>
      <c r="F115" s="504"/>
      <c r="G115" s="504"/>
      <c r="H115" s="504"/>
      <c r="I115" s="504"/>
      <c r="J115" s="504"/>
      <c r="K115" s="498">
        <f>SUM(K114:T114)</f>
        <v>0</v>
      </c>
      <c r="L115" s="499"/>
      <c r="M115" s="499"/>
      <c r="N115" s="499"/>
      <c r="O115" s="499"/>
      <c r="P115" s="499"/>
      <c r="Q115" s="499"/>
      <c r="R115" s="499"/>
      <c r="S115" s="499"/>
      <c r="T115" s="500"/>
      <c r="U115" s="507"/>
      <c r="V115" s="508"/>
    </row>
    <row r="116" spans="1:23" x14ac:dyDescent="0.55000000000000004">
      <c r="A116" s="17"/>
      <c r="B116" s="13" t="s">
        <v>73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5"/>
    </row>
    <row r="117" spans="1:23" x14ac:dyDescent="0.55000000000000004">
      <c r="A117" s="17"/>
      <c r="B117" s="470"/>
      <c r="C117" s="469"/>
      <c r="D117" s="469"/>
      <c r="E117" s="469"/>
      <c r="F117" s="469"/>
      <c r="G117" s="469"/>
      <c r="H117" s="469"/>
      <c r="I117" s="469"/>
      <c r="J117" s="469"/>
      <c r="K117" s="469"/>
      <c r="L117" s="469"/>
      <c r="M117" s="469"/>
      <c r="N117" s="469"/>
      <c r="O117" s="469"/>
      <c r="P117" s="469"/>
      <c r="Q117" s="469"/>
      <c r="R117" s="469"/>
      <c r="S117" s="469"/>
      <c r="T117" s="469"/>
      <c r="U117" s="469"/>
      <c r="V117" s="471"/>
      <c r="W117" s="422"/>
    </row>
    <row r="118" spans="1:23" x14ac:dyDescent="0.55000000000000004">
      <c r="A118" s="17"/>
      <c r="B118" s="470"/>
      <c r="C118" s="469"/>
      <c r="D118" s="469"/>
      <c r="E118" s="469"/>
      <c r="F118" s="469"/>
      <c r="G118" s="469"/>
      <c r="H118" s="469"/>
      <c r="I118" s="469"/>
      <c r="J118" s="469"/>
      <c r="K118" s="469"/>
      <c r="L118" s="469"/>
      <c r="M118" s="469"/>
      <c r="N118" s="469"/>
      <c r="O118" s="469"/>
      <c r="P118" s="469"/>
      <c r="Q118" s="469"/>
      <c r="R118" s="469"/>
      <c r="S118" s="469"/>
      <c r="T118" s="469"/>
      <c r="U118" s="469"/>
      <c r="V118" s="471"/>
    </row>
    <row r="119" spans="1:23" x14ac:dyDescent="0.55000000000000004">
      <c r="A119" s="17"/>
      <c r="B119" s="470"/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469"/>
      <c r="S119" s="469"/>
      <c r="T119" s="469"/>
      <c r="U119" s="469"/>
      <c r="V119" s="471"/>
    </row>
    <row r="120" spans="1:23" x14ac:dyDescent="0.55000000000000004">
      <c r="A120" s="17"/>
      <c r="B120" s="470"/>
      <c r="C120" s="469"/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9"/>
      <c r="U120" s="469"/>
      <c r="V120" s="471"/>
    </row>
    <row r="121" spans="1:23" x14ac:dyDescent="0.55000000000000004">
      <c r="A121" s="17"/>
      <c r="B121" s="13" t="s">
        <v>125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5"/>
    </row>
    <row r="122" spans="1:23" x14ac:dyDescent="0.55000000000000004">
      <c r="A122" s="17"/>
      <c r="B122" s="470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469"/>
      <c r="R122" s="469"/>
      <c r="S122" s="469"/>
      <c r="T122" s="469"/>
      <c r="U122" s="469"/>
      <c r="V122" s="471"/>
    </row>
    <row r="123" spans="1:23" x14ac:dyDescent="0.55000000000000004">
      <c r="A123" s="17"/>
      <c r="B123" s="470"/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  <c r="T123" s="469"/>
      <c r="U123" s="469"/>
      <c r="V123" s="471"/>
    </row>
    <row r="124" spans="1:23" x14ac:dyDescent="0.55000000000000004">
      <c r="A124" s="168"/>
      <c r="B124" s="530"/>
      <c r="C124" s="531"/>
      <c r="D124" s="531"/>
      <c r="E124" s="531"/>
      <c r="F124" s="531"/>
      <c r="G124" s="531"/>
      <c r="H124" s="531"/>
      <c r="I124" s="531"/>
      <c r="J124" s="531"/>
      <c r="K124" s="531"/>
      <c r="L124" s="531"/>
      <c r="M124" s="531"/>
      <c r="N124" s="531"/>
      <c r="O124" s="531"/>
      <c r="P124" s="531"/>
      <c r="Q124" s="531"/>
      <c r="R124" s="531"/>
      <c r="S124" s="531"/>
      <c r="T124" s="531"/>
      <c r="U124" s="531"/>
      <c r="V124" s="532"/>
    </row>
    <row r="125" spans="1:23" x14ac:dyDescent="0.55000000000000004">
      <c r="A125" s="35" t="s">
        <v>11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3" ht="70.5" customHeight="1" x14ac:dyDescent="0.55000000000000004">
      <c r="A126" s="476" t="s">
        <v>12</v>
      </c>
      <c r="B126" s="476"/>
      <c r="C126" s="476"/>
      <c r="D126" s="476"/>
      <c r="E126" s="476"/>
      <c r="F126" s="476"/>
      <c r="G126" s="476"/>
      <c r="H126" s="476"/>
      <c r="I126" s="476"/>
      <c r="J126" s="476"/>
      <c r="K126" s="476" t="s">
        <v>13</v>
      </c>
      <c r="L126" s="476"/>
      <c r="M126" s="476"/>
      <c r="N126" s="476" t="s">
        <v>14</v>
      </c>
      <c r="O126" s="476"/>
      <c r="P126" s="476"/>
      <c r="Q126" s="476" t="s">
        <v>15</v>
      </c>
      <c r="R126" s="476"/>
      <c r="S126" s="476"/>
      <c r="T126" s="476" t="s">
        <v>16</v>
      </c>
      <c r="U126" s="476"/>
      <c r="V126" s="476"/>
    </row>
    <row r="127" spans="1:23" ht="42" customHeight="1" x14ac:dyDescent="0.55000000000000004">
      <c r="A127" s="477" t="s">
        <v>64</v>
      </c>
      <c r="B127" s="477"/>
      <c r="C127" s="477"/>
      <c r="D127" s="477"/>
      <c r="E127" s="477"/>
      <c r="F127" s="477"/>
      <c r="G127" s="477"/>
      <c r="H127" s="477"/>
      <c r="I127" s="477"/>
      <c r="J127" s="477"/>
      <c r="K127" s="520">
        <v>20</v>
      </c>
      <c r="L127" s="520"/>
      <c r="M127" s="520"/>
      <c r="N127" s="529">
        <f>K90</f>
        <v>0</v>
      </c>
      <c r="O127" s="529"/>
      <c r="P127" s="529"/>
      <c r="Q127" s="528">
        <f>K93</f>
        <v>0</v>
      </c>
      <c r="R127" s="528"/>
      <c r="S127" s="528"/>
      <c r="T127" s="527" t="str">
        <f>IF(G90/G91*100&gt;=K127,"บรรลุ","ไม่บรรลุ")</f>
        <v>ไม่บรรลุ</v>
      </c>
      <c r="U127" s="527"/>
      <c r="V127" s="527"/>
    </row>
    <row r="128" spans="1:23" x14ac:dyDescent="0.55000000000000004">
      <c r="A128" s="35" t="s">
        <v>11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62.25" customHeight="1" x14ac:dyDescent="0.55000000000000004">
      <c r="A129" s="476" t="s">
        <v>12</v>
      </c>
      <c r="B129" s="476"/>
      <c r="C129" s="476"/>
      <c r="D129" s="476"/>
      <c r="E129" s="476"/>
      <c r="F129" s="476"/>
      <c r="G129" s="476"/>
      <c r="H129" s="476"/>
      <c r="I129" s="476"/>
      <c r="J129" s="476"/>
      <c r="K129" s="476" t="s">
        <v>13</v>
      </c>
      <c r="L129" s="476"/>
      <c r="M129" s="476"/>
      <c r="N129" s="476" t="s">
        <v>14</v>
      </c>
      <c r="O129" s="476"/>
      <c r="P129" s="476"/>
      <c r="Q129" s="476" t="s">
        <v>15</v>
      </c>
      <c r="R129" s="476"/>
      <c r="S129" s="476"/>
      <c r="T129" s="476" t="s">
        <v>16</v>
      </c>
      <c r="U129" s="476"/>
      <c r="V129" s="476"/>
    </row>
    <row r="130" spans="1:22" ht="43.5" customHeight="1" x14ac:dyDescent="0.55000000000000004">
      <c r="A130" s="477" t="s">
        <v>423</v>
      </c>
      <c r="B130" s="477"/>
      <c r="C130" s="477"/>
      <c r="D130" s="477"/>
      <c r="E130" s="477"/>
      <c r="F130" s="477"/>
      <c r="G130" s="477"/>
      <c r="H130" s="477"/>
      <c r="I130" s="477"/>
      <c r="J130" s="477"/>
      <c r="K130" s="545">
        <v>3</v>
      </c>
      <c r="L130" s="545"/>
      <c r="M130" s="545"/>
      <c r="N130" s="546">
        <f>Q130</f>
        <v>1.39</v>
      </c>
      <c r="O130" s="546"/>
      <c r="P130" s="546"/>
      <c r="Q130" s="546">
        <f>AVERAGE(Q127,Q40,Q81)</f>
        <v>1.39</v>
      </c>
      <c r="R130" s="546"/>
      <c r="S130" s="546"/>
      <c r="T130" s="527" t="str">
        <f>IF(Q130&gt;=K130,"บรรลุ","ไม่บรรลุ")</f>
        <v>ไม่บรรลุ</v>
      </c>
      <c r="U130" s="527"/>
      <c r="V130" s="527"/>
    </row>
  </sheetData>
  <sheetProtection password="EE4F" sheet="1" formatCells="0" formatRows="0" insertRows="0" deleteRows="0"/>
  <mergeCells count="168">
    <mergeCell ref="A129:J129"/>
    <mergeCell ref="K129:M129"/>
    <mergeCell ref="N129:P129"/>
    <mergeCell ref="Q129:S129"/>
    <mergeCell ref="T129:V129"/>
    <mergeCell ref="A130:J130"/>
    <mergeCell ref="K130:M130"/>
    <mergeCell ref="N130:P130"/>
    <mergeCell ref="Q130:S130"/>
    <mergeCell ref="T130:V130"/>
    <mergeCell ref="B53:V53"/>
    <mergeCell ref="B2:V2"/>
    <mergeCell ref="I17:J18"/>
    <mergeCell ref="G17:H17"/>
    <mergeCell ref="G18:H18"/>
    <mergeCell ref="I20:J21"/>
    <mergeCell ref="B27:V27"/>
    <mergeCell ref="B28:V28"/>
    <mergeCell ref="G20:H20"/>
    <mergeCell ref="G21:H21"/>
    <mergeCell ref="C112:J112"/>
    <mergeCell ref="C113:J113"/>
    <mergeCell ref="B29:V29"/>
    <mergeCell ref="B30:V30"/>
    <mergeCell ref="B32:V32"/>
    <mergeCell ref="B33:V33"/>
    <mergeCell ref="B34:V34"/>
    <mergeCell ref="B42:V42"/>
    <mergeCell ref="C48:K48"/>
    <mergeCell ref="C49:K49"/>
    <mergeCell ref="B76:V76"/>
    <mergeCell ref="B77:V77"/>
    <mergeCell ref="B78:V78"/>
    <mergeCell ref="T80:V80"/>
    <mergeCell ref="K80:M80"/>
    <mergeCell ref="C64:N64"/>
    <mergeCell ref="C65:N65"/>
    <mergeCell ref="B72:V72"/>
    <mergeCell ref="B73:V73"/>
    <mergeCell ref="B74:V74"/>
    <mergeCell ref="K20:M21"/>
    <mergeCell ref="D23:P23"/>
    <mergeCell ref="D24:P24"/>
    <mergeCell ref="D25:P25"/>
    <mergeCell ref="Q23:R23"/>
    <mergeCell ref="Q24:R24"/>
    <mergeCell ref="Q25:R25"/>
    <mergeCell ref="C50:K50"/>
    <mergeCell ref="C51:K51"/>
    <mergeCell ref="C52:K52"/>
    <mergeCell ref="T39:V39"/>
    <mergeCell ref="T40:V40"/>
    <mergeCell ref="Q39:S39"/>
    <mergeCell ref="Q40:S40"/>
    <mergeCell ref="N40:P40"/>
    <mergeCell ref="N39:P39"/>
    <mergeCell ref="K39:M39"/>
    <mergeCell ref="K40:M40"/>
    <mergeCell ref="A39:J39"/>
    <mergeCell ref="A40:J40"/>
    <mergeCell ref="N51:V51"/>
    <mergeCell ref="N52:V52"/>
    <mergeCell ref="O63:P63"/>
    <mergeCell ref="K60:M61"/>
    <mergeCell ref="I60:J61"/>
    <mergeCell ref="G60:H60"/>
    <mergeCell ref="G61:H61"/>
    <mergeCell ref="I57:J58"/>
    <mergeCell ref="G57:H57"/>
    <mergeCell ref="G58:H58"/>
    <mergeCell ref="K57:M58"/>
    <mergeCell ref="O69:P69"/>
    <mergeCell ref="B71:V71"/>
    <mergeCell ref="C63:N63"/>
    <mergeCell ref="O68:P68"/>
    <mergeCell ref="O64:P64"/>
    <mergeCell ref="O65:P65"/>
    <mergeCell ref="O66:P66"/>
    <mergeCell ref="O67:P67"/>
    <mergeCell ref="C66:N66"/>
    <mergeCell ref="C67:N67"/>
    <mergeCell ref="C68:N68"/>
    <mergeCell ref="C69:N69"/>
    <mergeCell ref="K127:M127"/>
    <mergeCell ref="A126:J126"/>
    <mergeCell ref="A127:J127"/>
    <mergeCell ref="B118:V118"/>
    <mergeCell ref="B119:V119"/>
    <mergeCell ref="B120:V120"/>
    <mergeCell ref="K126:M126"/>
    <mergeCell ref="B117:V117"/>
    <mergeCell ref="B122:V122"/>
    <mergeCell ref="B123:V123"/>
    <mergeCell ref="B124:V124"/>
    <mergeCell ref="T126:V126"/>
    <mergeCell ref="T127:V127"/>
    <mergeCell ref="Q126:S126"/>
    <mergeCell ref="Q127:S127"/>
    <mergeCell ref="N126:P126"/>
    <mergeCell ref="N127:P127"/>
    <mergeCell ref="K81:M81"/>
    <mergeCell ref="A80:J80"/>
    <mergeCell ref="A81:J81"/>
    <mergeCell ref="B83:V83"/>
    <mergeCell ref="B87:V87"/>
    <mergeCell ref="T81:V81"/>
    <mergeCell ref="Q80:S80"/>
    <mergeCell ref="Q81:S81"/>
    <mergeCell ref="N80:P80"/>
    <mergeCell ref="N81:P81"/>
    <mergeCell ref="G90:H90"/>
    <mergeCell ref="G91:H91"/>
    <mergeCell ref="I93:J94"/>
    <mergeCell ref="G93:H93"/>
    <mergeCell ref="G94:H94"/>
    <mergeCell ref="U113:V113"/>
    <mergeCell ref="U110:V110"/>
    <mergeCell ref="U111:V111"/>
    <mergeCell ref="K96:T96"/>
    <mergeCell ref="C96:J98"/>
    <mergeCell ref="C101:J101"/>
    <mergeCell ref="C102:J102"/>
    <mergeCell ref="C103:J103"/>
    <mergeCell ref="U99:V99"/>
    <mergeCell ref="U100:V100"/>
    <mergeCell ref="U101:V101"/>
    <mergeCell ref="U102:V102"/>
    <mergeCell ref="U103:V103"/>
    <mergeCell ref="C99:J99"/>
    <mergeCell ref="K115:T115"/>
    <mergeCell ref="C114:J115"/>
    <mergeCell ref="U114:V115"/>
    <mergeCell ref="N8:V8"/>
    <mergeCell ref="N9:V9"/>
    <mergeCell ref="N10:V10"/>
    <mergeCell ref="N11:V11"/>
    <mergeCell ref="N12:V12"/>
    <mergeCell ref="N48:V48"/>
    <mergeCell ref="N49:V49"/>
    <mergeCell ref="N50:V50"/>
    <mergeCell ref="K17:M18"/>
    <mergeCell ref="K90:M91"/>
    <mergeCell ref="K93:M94"/>
    <mergeCell ref="C8:K8"/>
    <mergeCell ref="C9:K9"/>
    <mergeCell ref="C10:K10"/>
    <mergeCell ref="C11:K11"/>
    <mergeCell ref="C12:K12"/>
    <mergeCell ref="I90:J91"/>
    <mergeCell ref="K97:O97"/>
    <mergeCell ref="P97:T97"/>
    <mergeCell ref="U96:V98"/>
    <mergeCell ref="U112:V112"/>
    <mergeCell ref="C104:J104"/>
    <mergeCell ref="C105:J105"/>
    <mergeCell ref="C106:J106"/>
    <mergeCell ref="C107:J107"/>
    <mergeCell ref="C108:J108"/>
    <mergeCell ref="C100:J100"/>
    <mergeCell ref="U104:V104"/>
    <mergeCell ref="U105:V105"/>
    <mergeCell ref="U106:V106"/>
    <mergeCell ref="U107:V107"/>
    <mergeCell ref="U108:V108"/>
    <mergeCell ref="C111:J111"/>
    <mergeCell ref="C109:J109"/>
    <mergeCell ref="C110:J110"/>
    <mergeCell ref="U109:V109"/>
  </mergeCells>
  <conditionalFormatting sqref="D6">
    <cfRule type="cellIs" dxfId="94" priority="3" operator="lessThan">
      <formula>0</formula>
    </cfRule>
  </conditionalFormatting>
  <conditionalFormatting sqref="D46">
    <cfRule type="cellIs" dxfId="93" priority="2" operator="lessThan">
      <formula>0</formula>
    </cfRule>
  </conditionalFormatting>
  <dataValidations count="1">
    <dataValidation type="list" allowBlank="1" showInputMessage="1" showErrorMessage="1" sqref="C99:J113 C8:K12 N8:V12 C48:K52 N48:V52">
      <formula1>$X$8:$X$28</formula1>
    </dataValidation>
  </dataValidations>
  <hyperlinks>
    <hyperlink ref="W4" location="ข้อมูลพื้นฐาน!A1" display="Main Menu"/>
    <hyperlink ref="W6" location="'หมวด2-4.2(เอก)'!A1" display="Next &gt;&gt; ตัวบ่งชี้ที่ 4.3"/>
    <hyperlink ref="W5" location="'หมวด2-4.1'!A1" display="&lt;&lt; Previois ตัวบ่งชี้ที่ 4.1"/>
  </hyperlinks>
  <printOptions horizontalCentered="1"/>
  <pageMargins left="1.1023622047244095" right="0.70866141732283472" top="0.94488188976377963" bottom="0.74803149606299213" header="0.31496062992125984" footer="0.31496062992125984"/>
  <pageSetup paperSize="9" orientation="portrait" blackAndWhite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a z d V I N M 8 S a l A A A A 9 w A A A B I A H A B D b 2 5 m a W c v U G F j a 2 F n Z S 5 4 b W w g o h g A K K A U A A A A A A A A A A A A A A A A A A A A A A A A A A A A h Y + 9 D o I w G E V f h X S n f 8 b E k I 8 y u D h I Y q I x r k 2 p 0 A j F 0 G J 5 N w c f y V c Q o 6 i b 4 z 3 3 D P f e r z f I h q a O L r p z p r U p Y p i i S F v V F s a W K e r 9 M V 6 g T M B G q p M s d T T K 1 i W D K 1 J U e X 9 O C A k h 4 D D D b V c S T i k j h 3 y 9 V Z V u J P r I 5 r 8 c G + u 8 t E o j A f v X G M E x o 3 P M O O e Y A p k o 5 M Z + D T 4 O f r Y / E J Z 9 7 f t O C 1 / F u x W Q K Q J 5 n x A P U E s D B B Q A A g A I A P W s 3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1 r N 1 U K I p H u A 4 A A A A R A A A A E w A c A E Z v c m 1 1 b G F z L 1 N l Y 3 R p b 2 4 x L m 0 g o h g A K K A U A A A A A A A A A A A A A A A A A A A A A A A A A A A A K 0 5 N L s n M z 1 M I h t C G 1 g B Q S w E C L Q A U A A I A C A D 1 r N 1 U g 0 z x J q U A A A D 3 A A A A E g A A A A A A A A A A A A A A A A A A A A A A Q 2 9 u Z m l n L 1 B h Y 2 t h Z 2 U u e G 1 s U E s B A i 0 A F A A C A A g A 9 a z d V A / K 6 a u k A A A A 6 Q A A A B M A A A A A A A A A A A A A A A A A 8 Q A A A F t D b 2 5 0 Z W 5 0 X 1 R 5 c G V z X S 5 4 b W x Q S w E C L Q A U A A I A C A D 1 r N 1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l a O M 6 S 4 K E q 8 S M 8 b R k q U A A A A A A A C A A A A A A A Q Z g A A A A E A A C A A A A A o L 5 o w M 0 x B l A Z W W 4 r J P W p K R S U 3 c R m F B G m Q Z v u k 4 R l 1 W Q A A A A A O g A A A A A I A A C A A A A C H l S q n S 4 d / Q J v O U f 9 N 0 4 k T D x Y 7 L v B t N R Q b U C e H m A T e N V A A A A B C j x i l Y I G o U 4 F r 8 1 5 n M d 9 G J o H l o I r d u w 2 c 3 2 M Y 4 G 6 s U a L p T N B V 8 f 8 a n 3 Y c F r x b t 5 q A / h w j C O J x H R q r Z V M 7 Q U U i E 5 R Q S S C 1 S c x 5 Y E V n F 7 E J F k A A A A C Z Y Y g d e w n / o B B b r a b A + u 3 s Z n i n V 3 X 7 l R d P 0 q a 0 4 Z R / D M j n 5 j o x 8 j i 9 / f d z B G b 7 Y C w K r m H q f V t 0 w F Q L f b r 9 n x F n < / D a t a M a s h u p > 
</file>

<file path=customXml/itemProps1.xml><?xml version="1.0" encoding="utf-8"?>
<ds:datastoreItem xmlns:ds="http://schemas.openxmlformats.org/officeDocument/2006/customXml" ds:itemID="{368A0CF2-72D5-4AD0-88C6-4901C7C879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25</vt:i4>
      </vt:variant>
      <vt:variant>
        <vt:lpstr>ช่วงที่มีชื่อ</vt:lpstr>
      </vt:variant>
      <vt:variant>
        <vt:i4>37</vt:i4>
      </vt:variant>
    </vt:vector>
  </HeadingPairs>
  <TitlesOfParts>
    <vt:vector size="62" baseType="lpstr">
      <vt:lpstr>ข้อมูลพื้นฐาน</vt:lpstr>
      <vt:lpstr>หน้าปก</vt:lpstr>
      <vt:lpstr>กรรมการ</vt:lpstr>
      <vt:lpstr>คำนำ</vt:lpstr>
      <vt:lpstr>วิธีประเมิน</vt:lpstr>
      <vt:lpstr>บทนำ</vt:lpstr>
      <vt:lpstr>หมวด1-1.1</vt:lpstr>
      <vt:lpstr>หมวด2-4.1</vt:lpstr>
      <vt:lpstr>หมวด2-4.2</vt:lpstr>
      <vt:lpstr>หมวด2-4.2(เอก)</vt:lpstr>
      <vt:lpstr>หมวด2-4.3</vt:lpstr>
      <vt:lpstr>หมวด3-2.1</vt:lpstr>
      <vt:lpstr>หมวด3-2.2(ตรี)</vt:lpstr>
      <vt:lpstr>หมวด3-2.2(โท)</vt:lpstr>
      <vt:lpstr>หมวด3-2.2(เอก)</vt:lpstr>
      <vt:lpstr>หมวด3-3.1</vt:lpstr>
      <vt:lpstr>หมวด3-3.2</vt:lpstr>
      <vt:lpstr>หมวด3-3.3</vt:lpstr>
      <vt:lpstr>หมวด4-5.1</vt:lpstr>
      <vt:lpstr>หมวด4-5.2</vt:lpstr>
      <vt:lpstr>หมวด4-5.3</vt:lpstr>
      <vt:lpstr>หมวด4-5.4</vt:lpstr>
      <vt:lpstr>หมวด5-6.1</vt:lpstr>
      <vt:lpstr>ตารางสรุป</vt:lpstr>
      <vt:lpstr>ตารางวิเคราะห์</vt:lpstr>
      <vt:lpstr>ข้อมูลพื้นฐาน!Print_Area</vt:lpstr>
      <vt:lpstr>ตารางวิเคราะห์!Print_Area</vt:lpstr>
      <vt:lpstr>ตารางสรุป!Print_Area</vt:lpstr>
      <vt:lpstr>บทนำ!Print_Area</vt:lpstr>
      <vt:lpstr>หน้าปก!Print_Area</vt:lpstr>
      <vt:lpstr>'หมวด1-1.1'!Print_Area</vt:lpstr>
      <vt:lpstr>'หมวด2-4.1'!Print_Area</vt:lpstr>
      <vt:lpstr>'หมวด2-4.2'!Print_Area</vt:lpstr>
      <vt:lpstr>'หมวด2-4.2(เอก)'!Print_Area</vt:lpstr>
      <vt:lpstr>'หมวด2-4.3'!Print_Area</vt:lpstr>
      <vt:lpstr>'หมวด3-2.1'!Print_Area</vt:lpstr>
      <vt:lpstr>'หมวด3-2.2(ตรี)'!Print_Area</vt:lpstr>
      <vt:lpstr>'หมวด3-2.2(โท)'!Print_Area</vt:lpstr>
      <vt:lpstr>'หมวด3-2.2(เอก)'!Print_Area</vt:lpstr>
      <vt:lpstr>'หมวด3-3.1'!Print_Area</vt:lpstr>
      <vt:lpstr>'หมวด3-3.2'!Print_Area</vt:lpstr>
      <vt:lpstr>'หมวด3-3.3'!Print_Area</vt:lpstr>
      <vt:lpstr>'หมวด4-5.1'!Print_Area</vt:lpstr>
      <vt:lpstr>'หมวด4-5.2'!Print_Area</vt:lpstr>
      <vt:lpstr>'หมวด4-5.3'!Print_Area</vt:lpstr>
      <vt:lpstr>'หมวด4-5.4'!Print_Area</vt:lpstr>
      <vt:lpstr>'หมวด5-6.1'!Print_Area</vt:lpstr>
      <vt:lpstr>ตารางสรุป!Print_Titles</vt:lpstr>
      <vt:lpstr>'หมวด2-4.2'!Print_Titles</vt:lpstr>
      <vt:lpstr>'หมวด3-3.3'!Print_Titles</vt:lpstr>
      <vt:lpstr>กลุ่มสาขาวิชา</vt:lpstr>
      <vt:lpstr>เกณฑ์</vt:lpstr>
      <vt:lpstr>คณะ</vt:lpstr>
      <vt:lpstr>ชื่อปริญญา</vt:lpstr>
      <vt:lpstr>ชื่อย่อ</vt:lpstr>
      <vt:lpstr>ชื่อหลักสูตร</vt:lpstr>
      <vt:lpstr>ชื่ออังกฤษ</vt:lpstr>
      <vt:lpstr>ปีประเมิน</vt:lpstr>
      <vt:lpstr>ปีหลักสูตร</vt:lpstr>
      <vt:lpstr>ผลการดำเนินงาน</vt:lpstr>
      <vt:lpstr>มหาวิทยาลัย</vt:lpstr>
      <vt:lpstr>ระดับ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2020-06-09T13:30:01Z</cp:lastPrinted>
  <dcterms:created xsi:type="dcterms:W3CDTF">2018-07-24T17:24:08Z</dcterms:created>
  <dcterms:modified xsi:type="dcterms:W3CDTF">2022-06-30T08:42:10Z</dcterms:modified>
</cp:coreProperties>
</file>